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POPISI\"/>
    </mc:Choice>
  </mc:AlternateContent>
  <bookViews>
    <workbookView xWindow="0" yWindow="0" windowWidth="25200" windowHeight="10650" tabRatio="952" activeTab="1"/>
  </bookViews>
  <sheets>
    <sheet name="nsl" sheetId="1" r:id="rId1"/>
    <sheet name="skREK" sheetId="2" r:id="rId2"/>
    <sheet name="Rfk" sheetId="3" r:id="rId3"/>
    <sheet name="predD" sheetId="5" r:id="rId4"/>
    <sheet name="zemBetD" sheetId="7" r:id="rId5"/>
    <sheet name="kan" sheetId="8" r:id="rId6"/>
    <sheet name="zakljD" sheetId="9" r:id="rId7"/>
    <sheet name="Rmet" sheetId="10" r:id="rId8"/>
    <sheet name="prD" sheetId="11" r:id="rId9"/>
    <sheet name="zbD" sheetId="12" r:id="rId10"/>
    <sheet name="kanal" sheetId="13" r:id="rId11"/>
    <sheet name="zakljuD" sheetId="14" r:id="rId12"/>
    <sheet name="ČRP-1218" sheetId="33" r:id="rId13"/>
    <sheet name="ČRP-19" sheetId="32" r:id="rId14"/>
    <sheet name="crpELgd" sheetId="15" r:id="rId15"/>
    <sheet name="Elektroinst " sheetId="35" r:id="rId16"/>
  </sheets>
  <calcPr calcId="162913"/>
</workbook>
</file>

<file path=xl/calcChain.xml><?xml version="1.0" encoding="utf-8"?>
<calcChain xmlns="http://schemas.openxmlformats.org/spreadsheetml/2006/main">
  <c r="F178" i="35" l="1"/>
  <c r="F177" i="35"/>
  <c r="F176" i="35"/>
  <c r="F175" i="35"/>
  <c r="F174" i="35"/>
  <c r="F173" i="35"/>
  <c r="F172" i="35"/>
  <c r="F171" i="35"/>
  <c r="F170" i="35"/>
  <c r="F169" i="35"/>
  <c r="F168" i="35"/>
  <c r="F167" i="35"/>
  <c r="F166" i="35"/>
  <c r="F165" i="35"/>
  <c r="F164" i="35"/>
  <c r="F163" i="35"/>
  <c r="F162" i="35"/>
  <c r="F161" i="35"/>
  <c r="F160" i="35"/>
  <c r="F159" i="35"/>
  <c r="F158" i="35"/>
  <c r="F157" i="35"/>
  <c r="F156" i="35"/>
  <c r="F155" i="35"/>
  <c r="F154" i="35"/>
  <c r="F153" i="35"/>
  <c r="F152" i="35"/>
  <c r="F151" i="35"/>
  <c r="F150" i="35"/>
  <c r="F149" i="35"/>
  <c r="F148" i="35"/>
  <c r="F147" i="35"/>
  <c r="F146" i="35"/>
  <c r="F145" i="35"/>
  <c r="F144" i="35"/>
  <c r="F143" i="35"/>
  <c r="F142" i="35"/>
  <c r="F141" i="35"/>
  <c r="F140" i="35"/>
  <c r="F139" i="35"/>
  <c r="F138" i="35"/>
  <c r="F137" i="35"/>
  <c r="F136" i="35"/>
  <c r="F135" i="35"/>
  <c r="F134" i="35"/>
  <c r="F133" i="35"/>
  <c r="F132" i="35"/>
  <c r="F131" i="35"/>
  <c r="F130" i="35"/>
  <c r="F129" i="35"/>
  <c r="F128" i="35"/>
  <c r="F86" i="35"/>
  <c r="F85" i="35"/>
  <c r="F84" i="35"/>
  <c r="F83" i="35"/>
  <c r="F82" i="35"/>
  <c r="F81" i="35"/>
  <c r="F80" i="35"/>
  <c r="F79" i="35"/>
  <c r="F78" i="35"/>
  <c r="F77" i="35"/>
  <c r="F76" i="35"/>
  <c r="F75" i="35"/>
  <c r="F74" i="35"/>
  <c r="F73" i="35"/>
  <c r="F72" i="35"/>
  <c r="F71" i="35"/>
  <c r="F70" i="35"/>
  <c r="F69" i="35"/>
  <c r="F68" i="35"/>
  <c r="F67" i="35"/>
  <c r="F66" i="35"/>
  <c r="F65" i="35"/>
  <c r="F64" i="35"/>
  <c r="F63" i="35"/>
  <c r="F62" i="35"/>
  <c r="F61" i="35"/>
  <c r="F60" i="35"/>
  <c r="F59" i="35"/>
  <c r="F58" i="35"/>
  <c r="F57" i="35"/>
  <c r="F56" i="35"/>
  <c r="F55" i="35"/>
  <c r="F54" i="35"/>
  <c r="F53" i="35"/>
  <c r="F52" i="35"/>
  <c r="F51" i="35"/>
  <c r="F50" i="35"/>
  <c r="F49" i="35"/>
  <c r="F48" i="35"/>
  <c r="F47" i="35"/>
  <c r="F46" i="35"/>
  <c r="F45" i="35"/>
  <c r="F44" i="35"/>
  <c r="F43" i="35"/>
  <c r="F42" i="35"/>
  <c r="F41" i="35"/>
  <c r="F40" i="35"/>
  <c r="F39" i="35"/>
  <c r="F38" i="35"/>
  <c r="F37" i="35"/>
  <c r="F36" i="35"/>
  <c r="G78" i="32"/>
  <c r="G20" i="33"/>
  <c r="G40" i="33"/>
  <c r="E8" i="5"/>
  <c r="E9" i="5"/>
  <c r="E10" i="5"/>
  <c r="E11" i="5"/>
  <c r="E12" i="5"/>
  <c r="E13" i="5"/>
  <c r="E14" i="5"/>
  <c r="E15" i="5"/>
  <c r="E16" i="5"/>
  <c r="E17" i="5"/>
  <c r="E18" i="5"/>
  <c r="E19" i="5"/>
  <c r="E22" i="5"/>
  <c r="E23" i="5"/>
  <c r="E24" i="5"/>
  <c r="E25" i="5"/>
  <c r="E26" i="5"/>
  <c r="E27" i="5"/>
  <c r="E28" i="5"/>
  <c r="E29" i="5"/>
  <c r="E30" i="5"/>
  <c r="E31" i="5"/>
  <c r="E32" i="5"/>
  <c r="E33" i="5"/>
  <c r="E36" i="5"/>
  <c r="E37" i="5"/>
  <c r="E38" i="5"/>
  <c r="E39" i="5"/>
  <c r="E40" i="5"/>
  <c r="E41" i="5"/>
  <c r="E42" i="5"/>
  <c r="E43" i="5"/>
  <c r="E44" i="5"/>
  <c r="E45" i="5"/>
  <c r="E46" i="5"/>
  <c r="E47" i="5"/>
  <c r="E50" i="5"/>
  <c r="E51" i="5"/>
  <c r="E52" i="5"/>
  <c r="E53" i="5"/>
  <c r="E54" i="5"/>
  <c r="E55" i="5"/>
  <c r="E56" i="5"/>
  <c r="E57" i="5"/>
  <c r="E58" i="5"/>
  <c r="E59" i="5"/>
  <c r="E60" i="5"/>
  <c r="E61" i="5"/>
  <c r="E64" i="5"/>
  <c r="E65" i="5"/>
  <c r="E66" i="5"/>
  <c r="E67" i="5"/>
  <c r="E68" i="5"/>
  <c r="E69" i="5"/>
  <c r="E70" i="5"/>
  <c r="E71" i="5"/>
  <c r="E72" i="5"/>
  <c r="E73" i="5"/>
  <c r="E74" i="5"/>
  <c r="E75" i="5"/>
  <c r="E78" i="5"/>
  <c r="E79" i="5"/>
  <c r="E80" i="5"/>
  <c r="E82" i="5"/>
  <c r="E83" i="5"/>
  <c r="E87" i="5"/>
  <c r="E92" i="5"/>
  <c r="E93" i="5"/>
  <c r="E96" i="5"/>
  <c r="E97" i="5"/>
  <c r="E101" i="5"/>
  <c r="E106" i="5"/>
  <c r="E107" i="5"/>
  <c r="E110" i="5"/>
  <c r="E115" i="5"/>
  <c r="E116" i="5"/>
  <c r="E117" i="5"/>
  <c r="E120" i="5"/>
  <c r="E121" i="5"/>
  <c r="E122" i="5"/>
  <c r="E123" i="5"/>
  <c r="E124" i="5"/>
  <c r="E125" i="5"/>
  <c r="E126" i="5"/>
  <c r="E127" i="5"/>
  <c r="E128" i="5"/>
  <c r="E129" i="5"/>
  <c r="E130" i="5"/>
  <c r="E131" i="5"/>
  <c r="E134" i="5"/>
  <c r="E135" i="5"/>
  <c r="E136" i="5"/>
  <c r="E137" i="5"/>
  <c r="E140" i="5"/>
  <c r="E141" i="5"/>
  <c r="E142" i="5"/>
  <c r="E143" i="5"/>
  <c r="F14" i="35" l="1"/>
  <c r="G20" i="32" l="1"/>
  <c r="G72" i="32" l="1"/>
  <c r="F179" i="35" l="1"/>
  <c r="F119" i="35"/>
  <c r="F120" i="35"/>
  <c r="F121" i="35"/>
  <c r="F122" i="35"/>
  <c r="F118" i="35"/>
  <c r="F113" i="35"/>
  <c r="F114" i="35"/>
  <c r="F112" i="35"/>
  <c r="F98" i="35"/>
  <c r="F99" i="35"/>
  <c r="F100" i="35"/>
  <c r="F101" i="35"/>
  <c r="F102" i="35"/>
  <c r="F103" i="35"/>
  <c r="F104" i="35"/>
  <c r="F97" i="35"/>
  <c r="F87" i="35"/>
  <c r="F26" i="35"/>
  <c r="F27" i="35"/>
  <c r="F28" i="35"/>
  <c r="F29" i="35"/>
  <c r="F30" i="35"/>
  <c r="F25" i="35"/>
  <c r="F15" i="35"/>
  <c r="F16" i="35"/>
  <c r="F17" i="35"/>
  <c r="F18" i="35"/>
  <c r="F13" i="35"/>
  <c r="F115" i="35" l="1"/>
  <c r="F123" i="35"/>
  <c r="F105" i="35"/>
  <c r="F107" i="35" s="1"/>
  <c r="F31" i="35"/>
  <c r="F20" i="35"/>
  <c r="F181" i="35" l="1"/>
  <c r="F187" i="35" s="1"/>
  <c r="C23" i="2" s="1"/>
  <c r="F89" i="35"/>
  <c r="F186" i="35" s="1"/>
  <c r="G50" i="33"/>
  <c r="F189" i="35" l="1"/>
  <c r="C22" i="2"/>
  <c r="A32" i="33"/>
  <c r="A34" i="33" s="1"/>
  <c r="A36" i="33" s="1"/>
  <c r="A38" i="33" s="1"/>
  <c r="A40" i="33" s="1"/>
  <c r="A42" i="33" s="1"/>
  <c r="E91" i="7" l="1"/>
  <c r="E92" i="7"/>
  <c r="E93" i="7"/>
  <c r="E94" i="7"/>
  <c r="E95" i="7"/>
  <c r="E62" i="11" l="1"/>
  <c r="D52" i="7"/>
  <c r="D38" i="7"/>
  <c r="D68" i="12"/>
  <c r="E68" i="12" s="1"/>
  <c r="E62" i="12"/>
  <c r="D62" i="12"/>
  <c r="E56" i="12"/>
  <c r="D32" i="12"/>
  <c r="E14" i="11"/>
  <c r="E8" i="11"/>
  <c r="E81" i="9"/>
  <c r="E67" i="9"/>
  <c r="D192" i="7"/>
  <c r="D24" i="7"/>
  <c r="D86" i="12" l="1"/>
  <c r="D50" i="12"/>
  <c r="D26" i="12"/>
  <c r="D20" i="12"/>
  <c r="D14" i="12"/>
  <c r="E8" i="14"/>
  <c r="E31" i="14"/>
  <c r="E11" i="9" l="1"/>
  <c r="E136" i="7" l="1"/>
  <c r="E122" i="7"/>
  <c r="E58" i="11" l="1"/>
  <c r="G58" i="11" s="1"/>
  <c r="E53" i="11"/>
  <c r="G53" i="11" s="1"/>
  <c r="E51" i="11"/>
  <c r="G51" i="11" s="1"/>
  <c r="A12" i="10"/>
  <c r="A14" i="10" s="1"/>
  <c r="E41" i="8"/>
  <c r="G41" i="8" s="1"/>
  <c r="G125" i="5"/>
  <c r="G78" i="33"/>
  <c r="G76" i="33"/>
  <c r="G74" i="33"/>
  <c r="G72" i="33"/>
  <c r="G70" i="33"/>
  <c r="G68" i="33"/>
  <c r="G66" i="33"/>
  <c r="G64" i="33"/>
  <c r="G62" i="33"/>
  <c r="G60" i="33"/>
  <c r="G58" i="33"/>
  <c r="G56" i="33"/>
  <c r="G54" i="33"/>
  <c r="G52" i="33"/>
  <c r="G48" i="33"/>
  <c r="G80" i="33" s="1"/>
  <c r="G42" i="33"/>
  <c r="G38" i="33"/>
  <c r="G36" i="33"/>
  <c r="D34" i="33"/>
  <c r="E34" i="33" s="1"/>
  <c r="G34" i="33" s="1"/>
  <c r="E32" i="33"/>
  <c r="E30" i="33"/>
  <c r="G30" i="33" s="1"/>
  <c r="E26" i="33"/>
  <c r="G26" i="33" s="1"/>
  <c r="E24" i="33"/>
  <c r="G24" i="33" s="1"/>
  <c r="E22" i="33"/>
  <c r="G22" i="33" s="1"/>
  <c r="E18" i="33"/>
  <c r="E16" i="33"/>
  <c r="G16" i="33" s="1"/>
  <c r="E14" i="33"/>
  <c r="G14" i="33" s="1"/>
  <c r="D8" i="33"/>
  <c r="G8" i="33" s="1"/>
  <c r="E5" i="33"/>
  <c r="D12" i="33" s="1"/>
  <c r="G12" i="33" s="1"/>
  <c r="G50" i="32"/>
  <c r="G74" i="32"/>
  <c r="G62" i="32"/>
  <c r="G60" i="32"/>
  <c r="G58" i="32"/>
  <c r="G56" i="32"/>
  <c r="G54" i="32"/>
  <c r="D34" i="32"/>
  <c r="E34" i="32" s="1"/>
  <c r="G34" i="32" s="1"/>
  <c r="G38" i="32"/>
  <c r="E32" i="32"/>
  <c r="E30" i="32"/>
  <c r="G30" i="32" s="1"/>
  <c r="E16" i="32"/>
  <c r="G16" i="32" s="1"/>
  <c r="E14" i="32"/>
  <c r="G14" i="32" s="1"/>
  <c r="G76" i="32"/>
  <c r="G70" i="32"/>
  <c r="G68" i="32"/>
  <c r="G66" i="32"/>
  <c r="G64" i="32"/>
  <c r="G52" i="32"/>
  <c r="G48" i="32"/>
  <c r="G42" i="32"/>
  <c r="G36" i="32"/>
  <c r="E26" i="32"/>
  <c r="G26" i="32" s="1"/>
  <c r="E24" i="32"/>
  <c r="G24" i="32" s="1"/>
  <c r="E22" i="32"/>
  <c r="G22" i="32" s="1"/>
  <c r="E18" i="32"/>
  <c r="D8" i="32"/>
  <c r="G8" i="32" s="1"/>
  <c r="E5" i="32"/>
  <c r="D10" i="32" s="1"/>
  <c r="G10" i="32" s="1"/>
  <c r="E42" i="15"/>
  <c r="G42" i="15" s="1"/>
  <c r="E40" i="15"/>
  <c r="G40" i="15" s="1"/>
  <c r="E38" i="15"/>
  <c r="G38" i="15" s="1"/>
  <c r="E36" i="15"/>
  <c r="G36" i="15" s="1"/>
  <c r="E33" i="15"/>
  <c r="G33" i="15" s="1"/>
  <c r="E31" i="9"/>
  <c r="E31" i="15"/>
  <c r="G31" i="15" s="1"/>
  <c r="A31" i="15"/>
  <c r="A33" i="15" s="1"/>
  <c r="A35" i="15" s="1"/>
  <c r="A38" i="15" s="1"/>
  <c r="A40" i="15" s="1"/>
  <c r="A42" i="15" s="1"/>
  <c r="E29" i="15"/>
  <c r="G29" i="15" s="1"/>
  <c r="E22" i="15"/>
  <c r="G22" i="15" s="1"/>
  <c r="E20" i="15"/>
  <c r="G20" i="15" s="1"/>
  <c r="E13" i="15"/>
  <c r="G13" i="15" s="1"/>
  <c r="E18" i="15"/>
  <c r="G18" i="15" s="1"/>
  <c r="G32" i="33" l="1"/>
  <c r="D28" i="33"/>
  <c r="E28" i="33" s="1"/>
  <c r="G28" i="33" s="1"/>
  <c r="G18" i="33"/>
  <c r="G82" i="33"/>
  <c r="G86" i="33" s="1"/>
  <c r="D40" i="33"/>
  <c r="E40" i="33" s="1"/>
  <c r="D10" i="33"/>
  <c r="G10" i="33" s="1"/>
  <c r="D28" i="32"/>
  <c r="E28" i="32" s="1"/>
  <c r="G28" i="32" s="1"/>
  <c r="G18" i="32"/>
  <c r="G32" i="32"/>
  <c r="G80" i="32"/>
  <c r="G85" i="32" s="1"/>
  <c r="D12" i="32"/>
  <c r="G12" i="32" s="1"/>
  <c r="D40" i="32"/>
  <c r="E40" i="32" s="1"/>
  <c r="G40" i="32" s="1"/>
  <c r="G44" i="15"/>
  <c r="G50" i="15" s="1"/>
  <c r="C19" i="2" s="1"/>
  <c r="G44" i="33" l="1"/>
  <c r="G85" i="33" s="1"/>
  <c r="G44" i="32"/>
  <c r="G84" i="32" s="1"/>
  <c r="G86" i="32" s="1"/>
  <c r="C15" i="2" s="1"/>
  <c r="E16" i="15"/>
  <c r="G16" i="15" s="1"/>
  <c r="E11" i="15"/>
  <c r="G11" i="15" s="1"/>
  <c r="E9" i="15"/>
  <c r="G9" i="15" s="1"/>
  <c r="A11" i="15"/>
  <c r="G80" i="13"/>
  <c r="G83" i="13"/>
  <c r="G82" i="13"/>
  <c r="G81" i="13"/>
  <c r="G88" i="33" l="1"/>
  <c r="C14" i="2" s="1"/>
  <c r="G24" i="15"/>
  <c r="G49" i="15" s="1"/>
  <c r="A13" i="15"/>
  <c r="A15" i="15" s="1"/>
  <c r="A18" i="15" s="1"/>
  <c r="A20" i="15" s="1"/>
  <c r="A22" i="15" s="1"/>
  <c r="A17" i="2"/>
  <c r="A11" i="2"/>
  <c r="E74" i="9"/>
  <c r="E73" i="9"/>
  <c r="E72" i="9"/>
  <c r="E71" i="9"/>
  <c r="E70" i="9"/>
  <c r="E66" i="9"/>
  <c r="E65" i="9"/>
  <c r="E64" i="9"/>
  <c r="E89" i="9"/>
  <c r="D103" i="9" s="1"/>
  <c r="E88" i="9"/>
  <c r="D102" i="9" s="1"/>
  <c r="E87" i="9"/>
  <c r="D101" i="9" s="1"/>
  <c r="E86" i="9"/>
  <c r="D100" i="9" s="1"/>
  <c r="E85" i="9"/>
  <c r="D99" i="9" s="1"/>
  <c r="E84" i="9"/>
  <c r="D98" i="9" s="1"/>
  <c r="E83" i="9"/>
  <c r="D97" i="9" s="1"/>
  <c r="E82" i="9"/>
  <c r="D96" i="9" s="1"/>
  <c r="D95" i="9"/>
  <c r="E80" i="9"/>
  <c r="D94" i="9" s="1"/>
  <c r="E79" i="9"/>
  <c r="D93" i="9" s="1"/>
  <c r="E78" i="9"/>
  <c r="D92" i="9" s="1"/>
  <c r="C25" i="2" l="1"/>
  <c r="G52" i="15"/>
  <c r="C18" i="2"/>
  <c r="E55" i="8"/>
  <c r="E172" i="7"/>
  <c r="E171" i="7"/>
  <c r="E170" i="7"/>
  <c r="E169" i="7"/>
  <c r="E168" i="7"/>
  <c r="E167" i="7"/>
  <c r="E166" i="7"/>
  <c r="E165" i="7"/>
  <c r="E164" i="7"/>
  <c r="E163" i="7"/>
  <c r="E162" i="7"/>
  <c r="E102" i="7" l="1"/>
  <c r="E101" i="7"/>
  <c r="E100" i="7"/>
  <c r="E99" i="7"/>
  <c r="E98" i="7"/>
  <c r="E97" i="7"/>
  <c r="E96" i="7"/>
  <c r="E149" i="5" l="1"/>
  <c r="E145" i="5"/>
  <c r="E144" i="5"/>
  <c r="E106" i="9" l="1"/>
  <c r="E61" i="9"/>
  <c r="E60" i="9"/>
  <c r="E51" i="9"/>
  <c r="E50" i="9"/>
  <c r="E45" i="9"/>
  <c r="E40" i="9"/>
  <c r="E186" i="7"/>
  <c r="E185" i="7"/>
  <c r="E184" i="7"/>
  <c r="E175" i="7"/>
  <c r="G172" i="7"/>
  <c r="G171" i="7"/>
  <c r="G170" i="7"/>
  <c r="G169" i="7"/>
  <c r="G168" i="7"/>
  <c r="G167" i="7"/>
  <c r="G166" i="7"/>
  <c r="G165" i="7"/>
  <c r="G164" i="7"/>
  <c r="G163" i="7"/>
  <c r="G162" i="7"/>
  <c r="E36" i="9"/>
  <c r="E29" i="14"/>
  <c r="E28" i="14"/>
  <c r="E27" i="14"/>
  <c r="E59" i="9"/>
  <c r="E58" i="9"/>
  <c r="E57" i="9"/>
  <c r="E56" i="9"/>
  <c r="E55" i="9"/>
  <c r="E54" i="9"/>
  <c r="E53" i="9"/>
  <c r="E52" i="9"/>
  <c r="E11" i="14" l="1"/>
  <c r="E10" i="14"/>
  <c r="E9" i="14"/>
  <c r="E17" i="11"/>
  <c r="E16" i="11"/>
  <c r="E15" i="11"/>
  <c r="E10" i="11"/>
  <c r="E11" i="11"/>
  <c r="E9" i="11"/>
  <c r="E71" i="12"/>
  <c r="E70" i="12"/>
  <c r="E69" i="12"/>
  <c r="E64" i="12"/>
  <c r="E63" i="12"/>
  <c r="D34" i="12"/>
  <c r="E34" i="12" s="1"/>
  <c r="G34" i="12" s="1"/>
  <c r="D35" i="12"/>
  <c r="E35" i="12" s="1"/>
  <c r="G35" i="12" s="1"/>
  <c r="D33" i="12"/>
  <c r="E33" i="12" s="1"/>
  <c r="G33" i="12" s="1"/>
  <c r="E32" i="12"/>
  <c r="G32" i="12" l="1"/>
  <c r="A13" i="13"/>
  <c r="E11" i="13"/>
  <c r="G11" i="13" s="1"/>
  <c r="E10" i="13"/>
  <c r="G10" i="13" s="1"/>
  <c r="E9" i="13"/>
  <c r="G9" i="13" s="1"/>
  <c r="E8" i="13"/>
  <c r="E77" i="13"/>
  <c r="G77" i="13" s="1"/>
  <c r="E76" i="13"/>
  <c r="G76" i="13" s="1"/>
  <c r="E75" i="13"/>
  <c r="G75" i="13" s="1"/>
  <c r="E74" i="13"/>
  <c r="G74" i="13" s="1"/>
  <c r="G29" i="14"/>
  <c r="G28" i="14"/>
  <c r="G27" i="14"/>
  <c r="E17" i="14"/>
  <c r="E16" i="14"/>
  <c r="E15" i="14"/>
  <c r="E14" i="14"/>
  <c r="E59" i="11"/>
  <c r="E57" i="11"/>
  <c r="E56" i="11"/>
  <c r="E52" i="11"/>
  <c r="E50" i="11"/>
  <c r="E41" i="11"/>
  <c r="E40" i="11"/>
  <c r="E23" i="11"/>
  <c r="E22" i="11"/>
  <c r="E21" i="11"/>
  <c r="E20" i="11"/>
  <c r="E83" i="12"/>
  <c r="E77" i="12"/>
  <c r="G77" i="12" s="1"/>
  <c r="E76" i="12"/>
  <c r="G76" i="12" s="1"/>
  <c r="E75" i="12"/>
  <c r="G75" i="12" s="1"/>
  <c r="E65" i="12"/>
  <c r="E59" i="12"/>
  <c r="E11" i="12"/>
  <c r="E58" i="12"/>
  <c r="G8" i="13" l="1"/>
  <c r="D53" i="12"/>
  <c r="D52" i="12"/>
  <c r="D51" i="12"/>
  <c r="D89" i="12"/>
  <c r="D88" i="12"/>
  <c r="D87" i="12"/>
  <c r="D27" i="12"/>
  <c r="D21" i="12"/>
  <c r="D15" i="12"/>
  <c r="D23" i="12"/>
  <c r="E10" i="12"/>
  <c r="D28" i="12" s="1"/>
  <c r="E116" i="9"/>
  <c r="E115" i="9"/>
  <c r="E114" i="9"/>
  <c r="E113" i="9"/>
  <c r="E17" i="9"/>
  <c r="G60" i="9"/>
  <c r="G61" i="9"/>
  <c r="G59" i="9"/>
  <c r="G58" i="9"/>
  <c r="G57" i="9"/>
  <c r="G56" i="9"/>
  <c r="G55" i="9"/>
  <c r="G54" i="9"/>
  <c r="G53" i="9"/>
  <c r="G52" i="9"/>
  <c r="G51" i="9"/>
  <c r="E32" i="9"/>
  <c r="E19" i="9"/>
  <c r="E18" i="9"/>
  <c r="E16" i="9"/>
  <c r="E15" i="9"/>
  <c r="E14" i="9"/>
  <c r="E10" i="9"/>
  <c r="E9" i="9"/>
  <c r="E8" i="9"/>
  <c r="D200" i="7"/>
  <c r="E200" i="7" s="1"/>
  <c r="D199" i="7"/>
  <c r="E199" i="7" s="1"/>
  <c r="D198" i="7"/>
  <c r="E198" i="7" s="1"/>
  <c r="D197" i="7"/>
  <c r="E197" i="7" s="1"/>
  <c r="D196" i="7"/>
  <c r="E196" i="7" s="1"/>
  <c r="D195" i="7"/>
  <c r="E195" i="7" s="1"/>
  <c r="D194" i="7"/>
  <c r="E194" i="7" s="1"/>
  <c r="D193" i="7"/>
  <c r="E193" i="7" s="1"/>
  <c r="D190" i="7"/>
  <c r="E190" i="7" s="1"/>
  <c r="D191" i="7"/>
  <c r="E191" i="7" s="1"/>
  <c r="E192" i="7"/>
  <c r="D189" i="7"/>
  <c r="E189" i="7" s="1"/>
  <c r="E144" i="7"/>
  <c r="E143" i="7"/>
  <c r="E142" i="7"/>
  <c r="E141" i="7"/>
  <c r="E140" i="7"/>
  <c r="E139" i="7"/>
  <c r="E135" i="7"/>
  <c r="E134" i="7"/>
  <c r="E133" i="7"/>
  <c r="E130" i="7"/>
  <c r="E129" i="7"/>
  <c r="E128" i="7"/>
  <c r="E127" i="7"/>
  <c r="E126" i="7"/>
  <c r="E125" i="7"/>
  <c r="E121" i="7"/>
  <c r="E120" i="7"/>
  <c r="E119" i="7"/>
  <c r="E124" i="7"/>
  <c r="E110" i="7"/>
  <c r="E13" i="7"/>
  <c r="D54" i="7" s="1"/>
  <c r="E123" i="7"/>
  <c r="E114" i="7"/>
  <c r="E109" i="7"/>
  <c r="E106" i="7"/>
  <c r="E105" i="7"/>
  <c r="E116" i="7"/>
  <c r="E115" i="7"/>
  <c r="E113" i="7"/>
  <c r="E112" i="7"/>
  <c r="E111" i="7"/>
  <c r="E108" i="7"/>
  <c r="E107" i="7"/>
  <c r="E158" i="7"/>
  <c r="G158" i="7" s="1"/>
  <c r="E157" i="7"/>
  <c r="G157" i="7" s="1"/>
  <c r="E156" i="7"/>
  <c r="G156" i="7" s="1"/>
  <c r="E155" i="7"/>
  <c r="G155" i="7" s="1"/>
  <c r="E154" i="7"/>
  <c r="G154" i="7" s="1"/>
  <c r="E153" i="7"/>
  <c r="G153" i="7" s="1"/>
  <c r="E152" i="7"/>
  <c r="G152" i="7" s="1"/>
  <c r="E151" i="7"/>
  <c r="G151" i="7" s="1"/>
  <c r="E150" i="7"/>
  <c r="G150" i="7" s="1"/>
  <c r="E149" i="7"/>
  <c r="G149" i="7" s="1"/>
  <c r="E148" i="7"/>
  <c r="G148" i="7" s="1"/>
  <c r="D60" i="7"/>
  <c r="D59" i="7"/>
  <c r="D57" i="7"/>
  <c r="D56" i="7"/>
  <c r="D55" i="7"/>
  <c r="D51" i="7"/>
  <c r="D46" i="7"/>
  <c r="D45" i="7"/>
  <c r="D43" i="7"/>
  <c r="D42" i="7"/>
  <c r="D41" i="7"/>
  <c r="D37" i="7"/>
  <c r="D32" i="7"/>
  <c r="D31" i="7"/>
  <c r="D29" i="7"/>
  <c r="D28" i="7"/>
  <c r="D27" i="7"/>
  <c r="D23" i="7"/>
  <c r="E8" i="7"/>
  <c r="E17" i="7"/>
  <c r="D58" i="7" s="1"/>
  <c r="E12" i="7"/>
  <c r="D53" i="7" s="1"/>
  <c r="E9" i="7"/>
  <c r="D50" i="7" s="1"/>
  <c r="E106" i="13"/>
  <c r="E105" i="13"/>
  <c r="E104" i="13"/>
  <c r="E107" i="13"/>
  <c r="D26" i="7" l="1"/>
  <c r="D40" i="7"/>
  <c r="D21" i="7"/>
  <c r="D35" i="7"/>
  <c r="E20" i="12"/>
  <c r="G20" i="12" s="1"/>
  <c r="D16" i="12"/>
  <c r="E16" i="12" s="1"/>
  <c r="G16" i="12" s="1"/>
  <c r="D22" i="12"/>
  <c r="E22" i="12" s="1"/>
  <c r="G22" i="12" s="1"/>
  <c r="D29" i="12"/>
  <c r="E29" i="12" s="1"/>
  <c r="D17" i="12"/>
  <c r="E17" i="12" s="1"/>
  <c r="G17" i="12" s="1"/>
  <c r="D25" i="7"/>
  <c r="D30" i="7"/>
  <c r="D39" i="7"/>
  <c r="D44" i="7"/>
  <c r="D49" i="7"/>
  <c r="D22" i="7"/>
  <c r="D36" i="7"/>
  <c r="E101" i="13"/>
  <c r="G101" i="13" s="1"/>
  <c r="E95" i="13"/>
  <c r="G95" i="13" s="1"/>
  <c r="E100" i="13"/>
  <c r="G100" i="13" s="1"/>
  <c r="E99" i="13"/>
  <c r="G99" i="13" s="1"/>
  <c r="E98" i="13"/>
  <c r="G98" i="13" s="1"/>
  <c r="E94" i="13"/>
  <c r="G94" i="13" s="1"/>
  <c r="E93" i="13"/>
  <c r="G93" i="13" s="1"/>
  <c r="E92" i="13"/>
  <c r="G92" i="13" s="1"/>
  <c r="E89" i="13"/>
  <c r="G89" i="13" s="1"/>
  <c r="E88" i="13"/>
  <c r="G88" i="13" s="1"/>
  <c r="E87" i="13"/>
  <c r="G87" i="13" s="1"/>
  <c r="E86" i="13"/>
  <c r="G86" i="13" s="1"/>
  <c r="E14" i="13"/>
  <c r="G34" i="14"/>
  <c r="G33" i="14"/>
  <c r="G32" i="14"/>
  <c r="G31" i="14"/>
  <c r="E26" i="14"/>
  <c r="G26" i="14" s="1"/>
  <c r="E23" i="14"/>
  <c r="G23" i="14" s="1"/>
  <c r="E22" i="14"/>
  <c r="G22" i="14" s="1"/>
  <c r="E21" i="14"/>
  <c r="G21" i="14" s="1"/>
  <c r="E20" i="14"/>
  <c r="G20" i="14" s="1"/>
  <c r="G17" i="14"/>
  <c r="G16" i="14"/>
  <c r="G15" i="14"/>
  <c r="G14" i="14"/>
  <c r="A13" i="14"/>
  <c r="A19" i="14" s="1"/>
  <c r="A25" i="14" s="1"/>
  <c r="A30" i="14" s="1"/>
  <c r="G11" i="14"/>
  <c r="G10" i="14"/>
  <c r="G9" i="14"/>
  <c r="G8" i="14"/>
  <c r="E41" i="13"/>
  <c r="G41" i="13" s="1"/>
  <c r="E40" i="13"/>
  <c r="G40" i="13" s="1"/>
  <c r="E39" i="13"/>
  <c r="G39" i="13" s="1"/>
  <c r="E38" i="13"/>
  <c r="E35" i="13"/>
  <c r="G35" i="13" s="1"/>
  <c r="E34" i="13"/>
  <c r="G34" i="13" s="1"/>
  <c r="E33" i="13"/>
  <c r="G33" i="13" s="1"/>
  <c r="E32" i="13"/>
  <c r="E26" i="13"/>
  <c r="E27" i="13"/>
  <c r="G27" i="13" s="1"/>
  <c r="E28" i="13"/>
  <c r="G28" i="13" s="1"/>
  <c r="E29" i="13"/>
  <c r="G29" i="13" s="1"/>
  <c r="A19" i="13"/>
  <c r="A25" i="13" s="1"/>
  <c r="E20" i="13"/>
  <c r="E21" i="13"/>
  <c r="G21" i="13" s="1"/>
  <c r="E22" i="13"/>
  <c r="G22" i="13" s="1"/>
  <c r="E23" i="13"/>
  <c r="G23" i="13" s="1"/>
  <c r="E209" i="13"/>
  <c r="G209" i="13" s="1"/>
  <c r="E208" i="13"/>
  <c r="G208" i="13" s="1"/>
  <c r="E207" i="13"/>
  <c r="G207" i="13" s="1"/>
  <c r="E206" i="13"/>
  <c r="G206" i="13" s="1"/>
  <c r="E205" i="13"/>
  <c r="G205" i="13" s="1"/>
  <c r="E204" i="13"/>
  <c r="G204" i="13" s="1"/>
  <c r="E203" i="13"/>
  <c r="G203" i="13" s="1"/>
  <c r="E202" i="13"/>
  <c r="G202" i="13" s="1"/>
  <c r="E201" i="13"/>
  <c r="G201" i="13" s="1"/>
  <c r="E200" i="13"/>
  <c r="G200" i="13" s="1"/>
  <c r="E199" i="13"/>
  <c r="G199" i="13" s="1"/>
  <c r="E198" i="13"/>
  <c r="G198" i="13" s="1"/>
  <c r="E197" i="13"/>
  <c r="G197" i="13" s="1"/>
  <c r="E196" i="13"/>
  <c r="G196" i="13" s="1"/>
  <c r="E195" i="13"/>
  <c r="G195" i="13" s="1"/>
  <c r="E194" i="13"/>
  <c r="G194" i="13" s="1"/>
  <c r="E193" i="13"/>
  <c r="G193" i="13" s="1"/>
  <c r="E192" i="13"/>
  <c r="G192" i="13" s="1"/>
  <c r="E191" i="13"/>
  <c r="G191" i="13" s="1"/>
  <c r="E190" i="13"/>
  <c r="G190" i="13" s="1"/>
  <c r="E189" i="13"/>
  <c r="G189" i="13" s="1"/>
  <c r="E185" i="13"/>
  <c r="G185" i="13" s="1"/>
  <c r="E184" i="13"/>
  <c r="G184" i="13" s="1"/>
  <c r="E183" i="13"/>
  <c r="G183" i="13" s="1"/>
  <c r="E182" i="13"/>
  <c r="G182" i="13" s="1"/>
  <c r="E181" i="13"/>
  <c r="G181" i="13" s="1"/>
  <c r="E180" i="13"/>
  <c r="G180" i="13" s="1"/>
  <c r="E179" i="13"/>
  <c r="G179" i="13" s="1"/>
  <c r="E178" i="13"/>
  <c r="G178" i="13" s="1"/>
  <c r="E177" i="13"/>
  <c r="G177" i="13" s="1"/>
  <c r="E176" i="13"/>
  <c r="G176" i="13" s="1"/>
  <c r="E175" i="13"/>
  <c r="G175" i="13" s="1"/>
  <c r="E174" i="13"/>
  <c r="G174" i="13" s="1"/>
  <c r="E173" i="13"/>
  <c r="G173" i="13" s="1"/>
  <c r="E172" i="13"/>
  <c r="G172" i="13" s="1"/>
  <c r="E171" i="13"/>
  <c r="G171" i="13" s="1"/>
  <c r="E170" i="13"/>
  <c r="G170" i="13" s="1"/>
  <c r="E169" i="13"/>
  <c r="G169" i="13" s="1"/>
  <c r="E168" i="13"/>
  <c r="G168" i="13" s="1"/>
  <c r="E167" i="13"/>
  <c r="G167" i="13" s="1"/>
  <c r="E166" i="13"/>
  <c r="G166" i="13" s="1"/>
  <c r="E165" i="13"/>
  <c r="G165" i="13" s="1"/>
  <c r="E162" i="13"/>
  <c r="G162" i="13" s="1"/>
  <c r="E161" i="13"/>
  <c r="G161" i="13" s="1"/>
  <c r="E160" i="13"/>
  <c r="G160" i="13" s="1"/>
  <c r="E159" i="13"/>
  <c r="G159" i="13" s="1"/>
  <c r="E158" i="13"/>
  <c r="G158" i="13" s="1"/>
  <c r="E157" i="13"/>
  <c r="G157" i="13" s="1"/>
  <c r="E156" i="13"/>
  <c r="G156" i="13" s="1"/>
  <c r="E155" i="13"/>
  <c r="G155" i="13" s="1"/>
  <c r="E154" i="13"/>
  <c r="G154" i="13" s="1"/>
  <c r="E153" i="13"/>
  <c r="G153" i="13" s="1"/>
  <c r="E152" i="13"/>
  <c r="G152" i="13" s="1"/>
  <c r="E151" i="13"/>
  <c r="G151" i="13" s="1"/>
  <c r="E150" i="13"/>
  <c r="G150" i="13" s="1"/>
  <c r="E149" i="13"/>
  <c r="G149" i="13" s="1"/>
  <c r="E148" i="13"/>
  <c r="G148" i="13" s="1"/>
  <c r="E147" i="13"/>
  <c r="G147" i="13" s="1"/>
  <c r="E146" i="13"/>
  <c r="G146" i="13" s="1"/>
  <c r="E145" i="13"/>
  <c r="G145" i="13" s="1"/>
  <c r="E144" i="13"/>
  <c r="G144" i="13" s="1"/>
  <c r="E143" i="13"/>
  <c r="G143" i="13" s="1"/>
  <c r="E142" i="13"/>
  <c r="G142" i="13" s="1"/>
  <c r="G107" i="13"/>
  <c r="G106" i="13"/>
  <c r="G105" i="13"/>
  <c r="G104" i="13"/>
  <c r="E71" i="13"/>
  <c r="G71" i="13" s="1"/>
  <c r="E70" i="13"/>
  <c r="G70" i="13" s="1"/>
  <c r="E69" i="13"/>
  <c r="G69" i="13" s="1"/>
  <c r="E68" i="13"/>
  <c r="E65" i="13"/>
  <c r="E64" i="13"/>
  <c r="E63" i="13"/>
  <c r="E62" i="13"/>
  <c r="E59" i="13"/>
  <c r="E58" i="13"/>
  <c r="E57" i="13"/>
  <c r="E56" i="13"/>
  <c r="E53" i="13"/>
  <c r="G53" i="13" s="1"/>
  <c r="E52" i="13"/>
  <c r="G52" i="13" s="1"/>
  <c r="E51" i="13"/>
  <c r="G51" i="13" s="1"/>
  <c r="E50" i="13"/>
  <c r="G50" i="13" s="1"/>
  <c r="E47" i="13"/>
  <c r="G47" i="13" s="1"/>
  <c r="E46" i="13"/>
  <c r="G46" i="13" s="1"/>
  <c r="E45" i="13"/>
  <c r="G45" i="13" s="1"/>
  <c r="E44" i="13"/>
  <c r="G44" i="13" s="1"/>
  <c r="E17" i="13"/>
  <c r="G17" i="13" s="1"/>
  <c r="E16" i="13"/>
  <c r="G16" i="13" s="1"/>
  <c r="E15" i="13"/>
  <c r="G15" i="13" s="1"/>
  <c r="E89" i="12"/>
  <c r="E88" i="12"/>
  <c r="E87" i="12"/>
  <c r="E86" i="12"/>
  <c r="E74" i="12"/>
  <c r="G74" i="12" s="1"/>
  <c r="E52" i="12"/>
  <c r="E51" i="12"/>
  <c r="E50" i="12"/>
  <c r="E47" i="12"/>
  <c r="G47" i="12" s="1"/>
  <c r="E46" i="12"/>
  <c r="G46" i="12" s="1"/>
  <c r="E45" i="12"/>
  <c r="G45" i="12" s="1"/>
  <c r="E44" i="12"/>
  <c r="G44" i="12" s="1"/>
  <c r="E41" i="12"/>
  <c r="G41" i="12" s="1"/>
  <c r="E40" i="12"/>
  <c r="G40" i="12" s="1"/>
  <c r="E39" i="12"/>
  <c r="G39" i="12" s="1"/>
  <c r="E38" i="12"/>
  <c r="G38" i="12" s="1"/>
  <c r="E28" i="12"/>
  <c r="E27" i="12"/>
  <c r="E26" i="12"/>
  <c r="E23" i="12"/>
  <c r="G23" i="12" s="1"/>
  <c r="E21" i="12"/>
  <c r="G21" i="12" s="1"/>
  <c r="E15" i="12"/>
  <c r="G15" i="12" s="1"/>
  <c r="E14" i="12"/>
  <c r="G14" i="12" s="1"/>
  <c r="A13" i="12"/>
  <c r="A19" i="12" s="1"/>
  <c r="A25" i="12" s="1"/>
  <c r="G11" i="12"/>
  <c r="G10" i="12"/>
  <c r="G9" i="12"/>
  <c r="G8" i="12"/>
  <c r="G65" i="11"/>
  <c r="G64" i="11"/>
  <c r="G63" i="11"/>
  <c r="G62" i="11"/>
  <c r="G59" i="11"/>
  <c r="G57" i="11"/>
  <c r="G56" i="11"/>
  <c r="G52" i="11"/>
  <c r="G50" i="11"/>
  <c r="E47" i="11"/>
  <c r="G47" i="11" s="1"/>
  <c r="E46" i="11"/>
  <c r="G46" i="11" s="1"/>
  <c r="E45" i="11"/>
  <c r="G45" i="11" s="1"/>
  <c r="E44" i="11"/>
  <c r="G44" i="11" s="1"/>
  <c r="G41" i="11"/>
  <c r="G40" i="11"/>
  <c r="E39" i="11"/>
  <c r="G39" i="11" s="1"/>
  <c r="G38" i="11"/>
  <c r="E35" i="11"/>
  <c r="G35" i="11" s="1"/>
  <c r="E34" i="11"/>
  <c r="G34" i="11" s="1"/>
  <c r="E33" i="11"/>
  <c r="G33" i="11" s="1"/>
  <c r="E32" i="11"/>
  <c r="G32" i="11" s="1"/>
  <c r="E29" i="11"/>
  <c r="G29" i="11" s="1"/>
  <c r="E28" i="11"/>
  <c r="G28" i="11" s="1"/>
  <c r="E27" i="11"/>
  <c r="G27" i="11" s="1"/>
  <c r="E26" i="11"/>
  <c r="G26" i="11" s="1"/>
  <c r="G23" i="11"/>
  <c r="G22" i="11"/>
  <c r="G21" i="11"/>
  <c r="G20" i="11"/>
  <c r="G17" i="11"/>
  <c r="G16" i="11"/>
  <c r="G15" i="11"/>
  <c r="G14" i="11"/>
  <c r="A13" i="11"/>
  <c r="A19" i="11" s="1"/>
  <c r="A25" i="11" s="1"/>
  <c r="A31" i="11" s="1"/>
  <c r="A37" i="11" s="1"/>
  <c r="A43" i="11" s="1"/>
  <c r="A49" i="11" s="1"/>
  <c r="A55" i="11" s="1"/>
  <c r="G11" i="11"/>
  <c r="G10" i="11"/>
  <c r="G9" i="11"/>
  <c r="G8" i="11"/>
  <c r="E33" i="8"/>
  <c r="G33" i="8" s="1"/>
  <c r="E32" i="8"/>
  <c r="G32" i="8" s="1"/>
  <c r="E30" i="8"/>
  <c r="G30" i="8" s="1"/>
  <c r="E29" i="8"/>
  <c r="G29" i="8" s="1"/>
  <c r="E28" i="8"/>
  <c r="G28" i="8" s="1"/>
  <c r="E27" i="8"/>
  <c r="G27" i="8" s="1"/>
  <c r="E26" i="8"/>
  <c r="G26" i="8" s="1"/>
  <c r="E25" i="8"/>
  <c r="G25" i="8" s="1"/>
  <c r="E24" i="8"/>
  <c r="G24" i="8" s="1"/>
  <c r="E22" i="8"/>
  <c r="E31" i="8"/>
  <c r="G31" i="8" s="1"/>
  <c r="E23" i="8"/>
  <c r="G23" i="8" s="1"/>
  <c r="A21" i="8"/>
  <c r="A35" i="8" s="1"/>
  <c r="E103" i="8"/>
  <c r="E102" i="8"/>
  <c r="E101" i="8"/>
  <c r="E100" i="8"/>
  <c r="E99" i="8"/>
  <c r="E98" i="8"/>
  <c r="E97" i="8"/>
  <c r="E96" i="8"/>
  <c r="E95" i="8"/>
  <c r="E94" i="8"/>
  <c r="E93" i="8"/>
  <c r="E89" i="8"/>
  <c r="E88" i="8"/>
  <c r="E87" i="8"/>
  <c r="E86" i="8"/>
  <c r="E85" i="8"/>
  <c r="E84" i="8"/>
  <c r="E83" i="8"/>
  <c r="E82" i="8"/>
  <c r="E81" i="8"/>
  <c r="E80" i="8"/>
  <c r="E79" i="8"/>
  <c r="E92" i="8"/>
  <c r="E78" i="8"/>
  <c r="E51" i="8"/>
  <c r="G51" i="8" s="1"/>
  <c r="E50" i="8"/>
  <c r="G50" i="8" s="1"/>
  <c r="E161" i="7"/>
  <c r="G161" i="7" s="1"/>
  <c r="G58" i="13" l="1"/>
  <c r="G32" i="13"/>
  <c r="G38" i="14"/>
  <c r="G68" i="11"/>
  <c r="G41" i="14"/>
  <c r="K16" i="10" s="1"/>
  <c r="G14" i="13"/>
  <c r="G57" i="13"/>
  <c r="G64" i="13"/>
  <c r="G38" i="13"/>
  <c r="G39" i="14"/>
  <c r="K12" i="10" s="1"/>
  <c r="G56" i="13"/>
  <c r="G63" i="13"/>
  <c r="G20" i="13"/>
  <c r="G40" i="14"/>
  <c r="K14" i="10" s="1"/>
  <c r="G59" i="13"/>
  <c r="G26" i="13"/>
  <c r="G65" i="13"/>
  <c r="D92" i="12"/>
  <c r="E92" i="12" s="1"/>
  <c r="G92" i="12" s="1"/>
  <c r="D93" i="12"/>
  <c r="E93" i="12" s="1"/>
  <c r="G93" i="12" s="1"/>
  <c r="D95" i="12"/>
  <c r="E95" i="12" s="1"/>
  <c r="G95" i="12" s="1"/>
  <c r="D94" i="12"/>
  <c r="E94" i="12" s="1"/>
  <c r="G94" i="12" s="1"/>
  <c r="G22" i="8"/>
  <c r="G71" i="11"/>
  <c r="E16" i="10" s="1"/>
  <c r="G70" i="11"/>
  <c r="E14" i="10" s="1"/>
  <c r="G69" i="11"/>
  <c r="E12" i="10" s="1"/>
  <c r="A31" i="12"/>
  <c r="A37" i="12" s="1"/>
  <c r="A43" i="12" s="1"/>
  <c r="A49" i="12" s="1"/>
  <c r="A55" i="12" s="1"/>
  <c r="A61" i="12" s="1"/>
  <c r="A67" i="12" s="1"/>
  <c r="G26" i="12"/>
  <c r="G27" i="12"/>
  <c r="G28" i="12"/>
  <c r="G29" i="12"/>
  <c r="G86" i="12"/>
  <c r="G89" i="12"/>
  <c r="G88" i="12"/>
  <c r="G87" i="12"/>
  <c r="G62" i="13"/>
  <c r="G68" i="13"/>
  <c r="A31" i="13"/>
  <c r="A37" i="13" s="1"/>
  <c r="A43" i="13" s="1"/>
  <c r="A49" i="13" s="1"/>
  <c r="A55" i="13" s="1"/>
  <c r="A61" i="13" s="1"/>
  <c r="A67" i="13" s="1"/>
  <c r="A73" i="13" s="1"/>
  <c r="A79" i="13" s="1"/>
  <c r="A85" i="13" s="1"/>
  <c r="G50" i="12"/>
  <c r="G51" i="12"/>
  <c r="G52" i="12"/>
  <c r="E53" i="12"/>
  <c r="A61" i="11"/>
  <c r="E159" i="5"/>
  <c r="G159" i="5" s="1"/>
  <c r="E158" i="5"/>
  <c r="G158" i="5" s="1"/>
  <c r="E157" i="5"/>
  <c r="G157" i="5" s="1"/>
  <c r="E156" i="5"/>
  <c r="G156" i="5" s="1"/>
  <c r="E155" i="5"/>
  <c r="G155" i="5" s="1"/>
  <c r="E154" i="5"/>
  <c r="G154" i="5" s="1"/>
  <c r="E153" i="5"/>
  <c r="G153" i="5" s="1"/>
  <c r="E152" i="5"/>
  <c r="G152" i="5" s="1"/>
  <c r="E151" i="5"/>
  <c r="G151" i="5" s="1"/>
  <c r="E150" i="5"/>
  <c r="G150" i="5" s="1"/>
  <c r="G149" i="5"/>
  <c r="E148" i="5"/>
  <c r="G148" i="5" s="1"/>
  <c r="E147" i="7"/>
  <c r="G147" i="7" s="1"/>
  <c r="E60" i="7"/>
  <c r="E59" i="7"/>
  <c r="E58" i="7"/>
  <c r="E57" i="7"/>
  <c r="E56" i="7"/>
  <c r="E55" i="7"/>
  <c r="E54" i="7"/>
  <c r="E53" i="7"/>
  <c r="E52" i="7"/>
  <c r="E51" i="7"/>
  <c r="E50" i="7"/>
  <c r="G117" i="9"/>
  <c r="G116" i="9"/>
  <c r="G115" i="9"/>
  <c r="G114" i="9"/>
  <c r="G113" i="9"/>
  <c r="G112" i="9"/>
  <c r="G111" i="9"/>
  <c r="G110" i="9"/>
  <c r="G109" i="9"/>
  <c r="G108" i="9"/>
  <c r="G107" i="9"/>
  <c r="G106" i="9"/>
  <c r="E10" i="10" l="1"/>
  <c r="G73" i="11"/>
  <c r="K10" i="10"/>
  <c r="G43" i="14"/>
  <c r="G111" i="13"/>
  <c r="I12" i="10" s="1"/>
  <c r="G113" i="13"/>
  <c r="I16" i="10" s="1"/>
  <c r="G112" i="13"/>
  <c r="I14" i="10" s="1"/>
  <c r="G110" i="13"/>
  <c r="A73" i="12"/>
  <c r="A79" i="12" s="1"/>
  <c r="A85" i="12" s="1"/>
  <c r="A91" i="12" s="1"/>
  <c r="K18" i="10"/>
  <c r="G51" i="7"/>
  <c r="G53" i="7"/>
  <c r="G56" i="7"/>
  <c r="G58" i="7"/>
  <c r="G60" i="7"/>
  <c r="G50" i="7"/>
  <c r="G52" i="7"/>
  <c r="G54" i="7"/>
  <c r="G55" i="7"/>
  <c r="G57" i="7"/>
  <c r="G59" i="7"/>
  <c r="A91" i="13"/>
  <c r="A97" i="13" s="1"/>
  <c r="A103" i="13" s="1"/>
  <c r="G53" i="12"/>
  <c r="E81" i="12"/>
  <c r="E93" i="9"/>
  <c r="E92" i="9"/>
  <c r="G67" i="9"/>
  <c r="G66" i="9"/>
  <c r="G65" i="9"/>
  <c r="G64" i="9"/>
  <c r="G115" i="13" l="1"/>
  <c r="I10" i="10"/>
  <c r="E18" i="10"/>
  <c r="I18" i="10"/>
  <c r="G68" i="9"/>
  <c r="E94" i="9"/>
  <c r="G94" i="9" s="1"/>
  <c r="G92" i="9"/>
  <c r="G69" i="9"/>
  <c r="G59" i="12"/>
  <c r="G81" i="12"/>
  <c r="G63" i="12"/>
  <c r="G69" i="12"/>
  <c r="E57" i="12"/>
  <c r="G78" i="9"/>
  <c r="E95" i="9"/>
  <c r="G93" i="9"/>
  <c r="E96" i="9"/>
  <c r="G80" i="9"/>
  <c r="G81" i="9"/>
  <c r="G79" i="9"/>
  <c r="G57" i="12" l="1"/>
  <c r="G99" i="12" s="1"/>
  <c r="G12" i="10" s="1"/>
  <c r="G58" i="12"/>
  <c r="G56" i="12"/>
  <c r="G96" i="9"/>
  <c r="E97" i="9"/>
  <c r="G95" i="9"/>
  <c r="G83" i="9"/>
  <c r="G82" i="9"/>
  <c r="G62" i="12" l="1"/>
  <c r="G97" i="9"/>
  <c r="E47" i="9"/>
  <c r="G47" i="9" s="1"/>
  <c r="E46" i="9"/>
  <c r="G46" i="9" s="1"/>
  <c r="G45" i="9"/>
  <c r="E44" i="9"/>
  <c r="G44" i="9" s="1"/>
  <c r="E43" i="9"/>
  <c r="G43" i="9" s="1"/>
  <c r="E42" i="9"/>
  <c r="G42" i="9" s="1"/>
  <c r="E41" i="9"/>
  <c r="G41" i="9" s="1"/>
  <c r="G40" i="9"/>
  <c r="E39" i="9"/>
  <c r="G39" i="9" s="1"/>
  <c r="E38" i="9"/>
  <c r="G38" i="9" s="1"/>
  <c r="E37" i="9"/>
  <c r="G37" i="9" s="1"/>
  <c r="G200" i="7"/>
  <c r="G47" i="5"/>
  <c r="G46" i="5"/>
  <c r="G45" i="5"/>
  <c r="G44" i="5"/>
  <c r="G43" i="5"/>
  <c r="G42" i="5"/>
  <c r="G41" i="5"/>
  <c r="G40" i="5"/>
  <c r="G39" i="5"/>
  <c r="G38" i="5"/>
  <c r="G37" i="5"/>
  <c r="G36" i="5"/>
  <c r="A16" i="10"/>
  <c r="G33" i="9"/>
  <c r="G32" i="9"/>
  <c r="G31" i="9"/>
  <c r="G30" i="9"/>
  <c r="G29" i="9"/>
  <c r="G28" i="9"/>
  <c r="G27" i="9"/>
  <c r="G26" i="9"/>
  <c r="G25" i="9"/>
  <c r="G24" i="9"/>
  <c r="G23" i="9"/>
  <c r="G22" i="9"/>
  <c r="G19" i="9"/>
  <c r="G18" i="9"/>
  <c r="G17" i="9"/>
  <c r="G16" i="9"/>
  <c r="G15" i="9"/>
  <c r="G14" i="9"/>
  <c r="G13" i="9"/>
  <c r="G12" i="9"/>
  <c r="G11" i="9"/>
  <c r="G10" i="9"/>
  <c r="G9" i="9"/>
  <c r="G8" i="9"/>
  <c r="G50" i="9"/>
  <c r="G36" i="9"/>
  <c r="A21" i="9"/>
  <c r="G117" i="8"/>
  <c r="G116" i="8"/>
  <c r="G115" i="8"/>
  <c r="G114" i="8"/>
  <c r="G113" i="8"/>
  <c r="G112" i="8"/>
  <c r="G111" i="8"/>
  <c r="G110" i="8"/>
  <c r="G109" i="8"/>
  <c r="G108" i="8"/>
  <c r="G107" i="8"/>
  <c r="G106" i="8"/>
  <c r="G103" i="8"/>
  <c r="G102" i="8"/>
  <c r="G101" i="8"/>
  <c r="G100" i="8"/>
  <c r="G99" i="8"/>
  <c r="G98" i="8"/>
  <c r="G97" i="8"/>
  <c r="G96" i="8"/>
  <c r="G95" i="8"/>
  <c r="G94" i="8"/>
  <c r="G93" i="8"/>
  <c r="G92" i="8"/>
  <c r="G89" i="8"/>
  <c r="G88" i="8"/>
  <c r="G87" i="8"/>
  <c r="G86" i="8"/>
  <c r="G85" i="8"/>
  <c r="G84" i="8"/>
  <c r="G83" i="8"/>
  <c r="G82" i="8"/>
  <c r="G81" i="8"/>
  <c r="G80" i="8"/>
  <c r="G79" i="8"/>
  <c r="G78" i="8"/>
  <c r="G121" i="9" l="1"/>
  <c r="K10" i="3" s="1"/>
  <c r="G125" i="9"/>
  <c r="K14" i="3" s="1"/>
  <c r="G120" i="9"/>
  <c r="G122" i="9"/>
  <c r="K11" i="3" s="1"/>
  <c r="G123" i="9"/>
  <c r="K12" i="3" s="1"/>
  <c r="M12" i="10"/>
  <c r="G124" i="9"/>
  <c r="K13" i="3" s="1"/>
  <c r="G65" i="12"/>
  <c r="E75" i="9"/>
  <c r="A35" i="9"/>
  <c r="A49" i="9" s="1"/>
  <c r="E47" i="8"/>
  <c r="G47" i="8" s="1"/>
  <c r="E46" i="8"/>
  <c r="G46" i="8" s="1"/>
  <c r="E45" i="8"/>
  <c r="G45" i="8" s="1"/>
  <c r="E44" i="8"/>
  <c r="G44" i="8" s="1"/>
  <c r="E43" i="8"/>
  <c r="G43" i="8" s="1"/>
  <c r="G42" i="8"/>
  <c r="E40" i="8"/>
  <c r="G40" i="8" s="1"/>
  <c r="E39" i="8"/>
  <c r="G39" i="8" s="1"/>
  <c r="E38" i="8"/>
  <c r="G38" i="8" s="1"/>
  <c r="E37" i="8"/>
  <c r="G37" i="8" s="1"/>
  <c r="E36" i="8"/>
  <c r="G36" i="8" s="1"/>
  <c r="E19" i="8"/>
  <c r="G19" i="8" s="1"/>
  <c r="E18" i="8"/>
  <c r="G18" i="8" s="1"/>
  <c r="E17" i="8"/>
  <c r="G17" i="8" s="1"/>
  <c r="E16" i="8"/>
  <c r="G16" i="8" s="1"/>
  <c r="E15" i="8"/>
  <c r="G15" i="8" s="1"/>
  <c r="E14" i="8"/>
  <c r="G14" i="8" s="1"/>
  <c r="E13" i="8"/>
  <c r="G13" i="8" s="1"/>
  <c r="E12" i="8"/>
  <c r="G12" i="8" s="1"/>
  <c r="E11" i="8"/>
  <c r="G11" i="8" s="1"/>
  <c r="E10" i="8"/>
  <c r="G10" i="8" s="1"/>
  <c r="E9" i="8"/>
  <c r="G9" i="8" s="1"/>
  <c r="E8" i="8"/>
  <c r="E75" i="8"/>
  <c r="E74" i="8"/>
  <c r="E73" i="8"/>
  <c r="E72" i="8"/>
  <c r="E71" i="8"/>
  <c r="E70" i="8"/>
  <c r="E69" i="8"/>
  <c r="E68" i="8"/>
  <c r="E67" i="8"/>
  <c r="E66" i="8"/>
  <c r="E65" i="8"/>
  <c r="E64" i="8"/>
  <c r="E61" i="8"/>
  <c r="G61" i="8" s="1"/>
  <c r="E60" i="8"/>
  <c r="G60" i="8" s="1"/>
  <c r="E59" i="8"/>
  <c r="G59" i="8" s="1"/>
  <c r="E58" i="8"/>
  <c r="G58" i="8" s="1"/>
  <c r="E57" i="8"/>
  <c r="G57" i="8" s="1"/>
  <c r="E56" i="8"/>
  <c r="G56" i="8" s="1"/>
  <c r="G55" i="8"/>
  <c r="E54" i="8"/>
  <c r="G54" i="8" s="1"/>
  <c r="E53" i="8"/>
  <c r="G53" i="8" s="1"/>
  <c r="E52" i="8"/>
  <c r="G52" i="8" s="1"/>
  <c r="G199" i="7"/>
  <c r="G198" i="7"/>
  <c r="G197" i="7"/>
  <c r="G196" i="7"/>
  <c r="G195" i="7"/>
  <c r="G194" i="7"/>
  <c r="G193" i="7"/>
  <c r="G192" i="7"/>
  <c r="G191" i="7"/>
  <c r="G190" i="7"/>
  <c r="G189" i="7"/>
  <c r="E88" i="7"/>
  <c r="G88" i="7" s="1"/>
  <c r="E87" i="7"/>
  <c r="G87" i="7" s="1"/>
  <c r="E86" i="7"/>
  <c r="G86" i="7" s="1"/>
  <c r="E85" i="7"/>
  <c r="G85" i="7" s="1"/>
  <c r="E84" i="7"/>
  <c r="G84" i="7" s="1"/>
  <c r="E83" i="7"/>
  <c r="G83" i="7" s="1"/>
  <c r="E82" i="7"/>
  <c r="G82" i="7" s="1"/>
  <c r="E81" i="7"/>
  <c r="G81" i="7" s="1"/>
  <c r="E80" i="7"/>
  <c r="G80" i="7" s="1"/>
  <c r="E79" i="7"/>
  <c r="G79" i="7" s="1"/>
  <c r="E78" i="7"/>
  <c r="G78" i="7" s="1"/>
  <c r="E77" i="7"/>
  <c r="G77" i="7" s="1"/>
  <c r="E74" i="7"/>
  <c r="G74" i="7" s="1"/>
  <c r="E73" i="7"/>
  <c r="G73" i="7" s="1"/>
  <c r="E72" i="7"/>
  <c r="G72" i="7" s="1"/>
  <c r="E71" i="7"/>
  <c r="G71" i="7" s="1"/>
  <c r="E70" i="7"/>
  <c r="G70" i="7" s="1"/>
  <c r="E69" i="7"/>
  <c r="G69" i="7" s="1"/>
  <c r="E68" i="7"/>
  <c r="G68" i="7" s="1"/>
  <c r="E67" i="7"/>
  <c r="G67" i="7" s="1"/>
  <c r="E66" i="7"/>
  <c r="G66" i="7" s="1"/>
  <c r="E65" i="7"/>
  <c r="G65" i="7" s="1"/>
  <c r="E64" i="7"/>
  <c r="G64" i="7" s="1"/>
  <c r="E63" i="7"/>
  <c r="G63" i="7" s="1"/>
  <c r="E49" i="7"/>
  <c r="E21" i="7"/>
  <c r="G19" i="7"/>
  <c r="G18" i="7"/>
  <c r="G17" i="7"/>
  <c r="G16" i="7"/>
  <c r="G15" i="7"/>
  <c r="G14" i="7"/>
  <c r="G13" i="7"/>
  <c r="G12" i="7"/>
  <c r="G11" i="7"/>
  <c r="G10" i="7"/>
  <c r="G9" i="7"/>
  <c r="G8" i="7"/>
  <c r="A20" i="7"/>
  <c r="A34" i="7" s="1"/>
  <c r="A48" i="7" s="1"/>
  <c r="A62" i="7" s="1"/>
  <c r="A76" i="7" s="1"/>
  <c r="A90" i="7" s="1"/>
  <c r="A10" i="3"/>
  <c r="A11" i="3" s="1"/>
  <c r="A12" i="3" s="1"/>
  <c r="A13" i="3" s="1"/>
  <c r="A14" i="3" s="1"/>
  <c r="G33" i="5"/>
  <c r="G32" i="5"/>
  <c r="G31" i="5"/>
  <c r="G30" i="5"/>
  <c r="G29" i="5"/>
  <c r="G28" i="5"/>
  <c r="G27" i="5"/>
  <c r="G26" i="5"/>
  <c r="G25" i="5"/>
  <c r="G24" i="5"/>
  <c r="G23" i="5"/>
  <c r="G22" i="5"/>
  <c r="A21" i="5"/>
  <c r="G19" i="5"/>
  <c r="G18" i="5"/>
  <c r="G17" i="5"/>
  <c r="G16" i="5"/>
  <c r="G15" i="5"/>
  <c r="G14" i="5"/>
  <c r="G13" i="5"/>
  <c r="G12" i="5"/>
  <c r="G11" i="5"/>
  <c r="G10" i="5"/>
  <c r="G9" i="5"/>
  <c r="G8" i="5"/>
  <c r="G145" i="5"/>
  <c r="G144" i="5"/>
  <c r="G143" i="5"/>
  <c r="G142" i="5"/>
  <c r="G141" i="5"/>
  <c r="G140" i="5"/>
  <c r="G139" i="5"/>
  <c r="G138" i="5"/>
  <c r="G137" i="5"/>
  <c r="G136" i="5"/>
  <c r="G135" i="5"/>
  <c r="G131" i="5"/>
  <c r="G130" i="5"/>
  <c r="G129" i="5"/>
  <c r="G128" i="5"/>
  <c r="G127" i="5"/>
  <c r="G126" i="5"/>
  <c r="G124" i="5"/>
  <c r="G123" i="5"/>
  <c r="G122" i="5"/>
  <c r="G121" i="5"/>
  <c r="G134" i="5"/>
  <c r="G117" i="5"/>
  <c r="G116" i="5"/>
  <c r="G115" i="5"/>
  <c r="G114" i="5"/>
  <c r="G113" i="5"/>
  <c r="G112" i="5"/>
  <c r="G111" i="5"/>
  <c r="G110" i="5"/>
  <c r="G109" i="5"/>
  <c r="G108" i="5"/>
  <c r="G107" i="5"/>
  <c r="G106" i="5"/>
  <c r="K9" i="3" l="1"/>
  <c r="A15" i="3"/>
  <c r="A16" i="3" s="1"/>
  <c r="A17" i="3" s="1"/>
  <c r="A18" i="3" s="1"/>
  <c r="A19" i="3" s="1"/>
  <c r="A20" i="3" s="1"/>
  <c r="G74" i="8"/>
  <c r="G130" i="8" s="1"/>
  <c r="I19" i="3" s="1"/>
  <c r="G68" i="8"/>
  <c r="G124" i="8" s="1"/>
  <c r="I13" i="3" s="1"/>
  <c r="G70" i="8"/>
  <c r="G126" i="8" s="1"/>
  <c r="I15" i="3" s="1"/>
  <c r="G65" i="8"/>
  <c r="G121" i="8" s="1"/>
  <c r="I10" i="3" s="1"/>
  <c r="G69" i="8"/>
  <c r="G125" i="8" s="1"/>
  <c r="I14" i="3" s="1"/>
  <c r="G72" i="8"/>
  <c r="G128" i="8" s="1"/>
  <c r="I17" i="3" s="1"/>
  <c r="G67" i="8"/>
  <c r="G123" i="8" s="1"/>
  <c r="I12" i="3" s="1"/>
  <c r="A63" i="9"/>
  <c r="A77" i="9" s="1"/>
  <c r="A91" i="9" s="1"/>
  <c r="A105" i="9" s="1"/>
  <c r="G66" i="8"/>
  <c r="G122" i="8" s="1"/>
  <c r="I11" i="3" s="1"/>
  <c r="G64" i="8"/>
  <c r="G8" i="8"/>
  <c r="G75" i="9"/>
  <c r="G73" i="9"/>
  <c r="G71" i="9"/>
  <c r="G74" i="9"/>
  <c r="G72" i="9"/>
  <c r="G70" i="9"/>
  <c r="G49" i="7"/>
  <c r="G21" i="7"/>
  <c r="G64" i="12"/>
  <c r="A35" i="5"/>
  <c r="A49" i="5" s="1"/>
  <c r="A63" i="5" s="1"/>
  <c r="G71" i="8"/>
  <c r="G73" i="8"/>
  <c r="G75" i="8"/>
  <c r="G131" i="8" s="1"/>
  <c r="I20" i="3" s="1"/>
  <c r="E183" i="7"/>
  <c r="G183" i="7" s="1"/>
  <c r="E182" i="7"/>
  <c r="G182" i="7" s="1"/>
  <c r="A104" i="7"/>
  <c r="A118" i="7" s="1"/>
  <c r="A132" i="7" s="1"/>
  <c r="G92" i="7"/>
  <c r="G96" i="7"/>
  <c r="G91" i="7"/>
  <c r="G95" i="7"/>
  <c r="G108" i="7"/>
  <c r="G106" i="7"/>
  <c r="G110" i="7"/>
  <c r="E37" i="7"/>
  <c r="E36" i="7"/>
  <c r="E35" i="7"/>
  <c r="G35" i="7" s="1"/>
  <c r="G120" i="8" l="1"/>
  <c r="G129" i="8"/>
  <c r="I18" i="3" s="1"/>
  <c r="G127" i="8"/>
  <c r="I16" i="3" s="1"/>
  <c r="D203" i="7"/>
  <c r="E203" i="7" s="1"/>
  <c r="G203" i="7" s="1"/>
  <c r="G94" i="7"/>
  <c r="G36" i="7"/>
  <c r="G37" i="7"/>
  <c r="G71" i="12"/>
  <c r="G68" i="12"/>
  <c r="G70" i="12"/>
  <c r="A49" i="8"/>
  <c r="A63" i="8" s="1"/>
  <c r="A77" i="8" s="1"/>
  <c r="A91" i="8" s="1"/>
  <c r="A146" i="7"/>
  <c r="A160" i="7" s="1"/>
  <c r="A174" i="7" s="1"/>
  <c r="A188" i="7" s="1"/>
  <c r="A202" i="7" s="1"/>
  <c r="G93" i="7"/>
  <c r="G140" i="7"/>
  <c r="E177" i="7"/>
  <c r="G177" i="7" s="1"/>
  <c r="G141" i="7"/>
  <c r="G178" i="7"/>
  <c r="G112" i="7"/>
  <c r="G113" i="7"/>
  <c r="G126" i="7"/>
  <c r="G111" i="7"/>
  <c r="G127" i="7"/>
  <c r="E23" i="7"/>
  <c r="G23" i="7" s="1"/>
  <c r="G107" i="7"/>
  <c r="G105" i="7"/>
  <c r="G109" i="7"/>
  <c r="E22" i="7"/>
  <c r="G22" i="7" s="1"/>
  <c r="G100" i="7"/>
  <c r="G98" i="7"/>
  <c r="G102" i="7"/>
  <c r="G101" i="7"/>
  <c r="G99" i="7"/>
  <c r="G97" i="7"/>
  <c r="E38" i="7"/>
  <c r="E24" i="7"/>
  <c r="G24" i="7" s="1"/>
  <c r="I9" i="3" l="1"/>
  <c r="G133" i="8"/>
  <c r="G38" i="7"/>
  <c r="D206" i="7"/>
  <c r="E206" i="7" s="1"/>
  <c r="G206" i="7" s="1"/>
  <c r="D205" i="7"/>
  <c r="E205" i="7" s="1"/>
  <c r="G205" i="7" s="1"/>
  <c r="D204" i="7"/>
  <c r="E204" i="7" s="1"/>
  <c r="G204" i="7" s="1"/>
  <c r="E80" i="12"/>
  <c r="A105" i="8"/>
  <c r="E98" i="9"/>
  <c r="E99" i="9"/>
  <c r="G84" i="9"/>
  <c r="G114" i="7"/>
  <c r="G116" i="7"/>
  <c r="G115" i="7"/>
  <c r="G136" i="7"/>
  <c r="G120" i="7"/>
  <c r="G135" i="7"/>
  <c r="G122" i="7"/>
  <c r="G121" i="7"/>
  <c r="E39" i="7"/>
  <c r="E25" i="7"/>
  <c r="G25" i="7" s="1"/>
  <c r="I21" i="3" l="1"/>
  <c r="G39" i="7"/>
  <c r="D207" i="7"/>
  <c r="E207" i="7" s="1"/>
  <c r="G207" i="7" s="1"/>
  <c r="G219" i="7"/>
  <c r="G11" i="3" s="1"/>
  <c r="G220" i="7"/>
  <c r="G12" i="3" s="1"/>
  <c r="E82" i="12"/>
  <c r="G80" i="12"/>
  <c r="G98" i="12" s="1"/>
  <c r="E101" i="9"/>
  <c r="G99" i="9"/>
  <c r="E100" i="9"/>
  <c r="G98" i="9"/>
  <c r="G126" i="9" s="1"/>
  <c r="G85" i="9"/>
  <c r="G88" i="9"/>
  <c r="G86" i="9"/>
  <c r="G186" i="7"/>
  <c r="G124" i="7"/>
  <c r="G119" i="7"/>
  <c r="G123" i="7"/>
  <c r="E40" i="7"/>
  <c r="E26" i="7"/>
  <c r="G26" i="7" s="1"/>
  <c r="K15" i="3" l="1"/>
  <c r="G10" i="10"/>
  <c r="G127" i="9"/>
  <c r="K16" i="3" s="1"/>
  <c r="M10" i="10"/>
  <c r="G40" i="7"/>
  <c r="D208" i="7"/>
  <c r="E208" i="7" s="1"/>
  <c r="G208" i="7" s="1"/>
  <c r="G82" i="12"/>
  <c r="G100" i="12" s="1"/>
  <c r="G14" i="10" s="1"/>
  <c r="E102" i="9"/>
  <c r="G102" i="9" s="1"/>
  <c r="G130" i="9" s="1"/>
  <c r="K19" i="3" s="1"/>
  <c r="G100" i="9"/>
  <c r="G128" i="9" s="1"/>
  <c r="K17" i="3" s="1"/>
  <c r="E103" i="9"/>
  <c r="G103" i="9" s="1"/>
  <c r="G101" i="9"/>
  <c r="G87" i="9"/>
  <c r="G89" i="9"/>
  <c r="G144" i="7"/>
  <c r="G129" i="7"/>
  <c r="G130" i="7"/>
  <c r="G125" i="7"/>
  <c r="G131" i="9" l="1"/>
  <c r="K20" i="3" s="1"/>
  <c r="G129" i="9"/>
  <c r="K18" i="3" s="1"/>
  <c r="G83" i="12"/>
  <c r="G101" i="12" s="1"/>
  <c r="G16" i="10" s="1"/>
  <c r="E181" i="7"/>
  <c r="G181" i="7" s="1"/>
  <c r="G134" i="7"/>
  <c r="G133" i="7"/>
  <c r="G138" i="7"/>
  <c r="G128" i="7"/>
  <c r="G133" i="9" l="1"/>
  <c r="G103" i="12"/>
  <c r="K21" i="3"/>
  <c r="M14" i="10"/>
  <c r="G175" i="7"/>
  <c r="G217" i="7" s="1"/>
  <c r="G139" i="7"/>
  <c r="E176" i="7"/>
  <c r="G137" i="7"/>
  <c r="G9" i="3" l="1"/>
  <c r="G176" i="7"/>
  <c r="G218" i="7" s="1"/>
  <c r="G10" i="3" s="1"/>
  <c r="M16" i="10"/>
  <c r="M18" i="10" s="1"/>
  <c r="G142" i="7"/>
  <c r="E179" i="7"/>
  <c r="G179" i="7" s="1"/>
  <c r="G221" i="7" s="1"/>
  <c r="G13" i="3" s="1"/>
  <c r="G143" i="7"/>
  <c r="E180" i="7"/>
  <c r="G180" i="7" s="1"/>
  <c r="G222" i="7" s="1"/>
  <c r="G14" i="3" s="1"/>
  <c r="G18" i="10" l="1"/>
  <c r="G184" i="7"/>
  <c r="G185" i="7"/>
  <c r="C11" i="2" l="1"/>
  <c r="E41" i="7" l="1"/>
  <c r="E27" i="7"/>
  <c r="G27" i="7" s="1"/>
  <c r="G41" i="7" l="1"/>
  <c r="D209" i="7"/>
  <c r="E209" i="7" s="1"/>
  <c r="G209" i="7" s="1"/>
  <c r="E42" i="7"/>
  <c r="E28" i="7"/>
  <c r="G28" i="7" s="1"/>
  <c r="G223" i="7" l="1"/>
  <c r="G15" i="3" s="1"/>
  <c r="G42" i="7"/>
  <c r="D210" i="7"/>
  <c r="E210" i="7" s="1"/>
  <c r="G210" i="7" s="1"/>
  <c r="E43" i="7"/>
  <c r="E29" i="7"/>
  <c r="G29" i="7" s="1"/>
  <c r="G224" i="7" l="1"/>
  <c r="G43" i="7"/>
  <c r="D211" i="7"/>
  <c r="E211" i="7" s="1"/>
  <c r="G211" i="7" s="1"/>
  <c r="G225" i="7" s="1"/>
  <c r="G17" i="3" s="1"/>
  <c r="E44" i="7"/>
  <c r="E30" i="7"/>
  <c r="G30" i="7" s="1"/>
  <c r="G16" i="3" l="1"/>
  <c r="G44" i="7"/>
  <c r="D212" i="7"/>
  <c r="E212" i="7" s="1"/>
  <c r="G212" i="7" s="1"/>
  <c r="E46" i="7"/>
  <c r="E45" i="7"/>
  <c r="E32" i="7"/>
  <c r="G32" i="7" s="1"/>
  <c r="E31" i="7"/>
  <c r="G31" i="7" s="1"/>
  <c r="G226" i="7" l="1"/>
  <c r="G46" i="7"/>
  <c r="D214" i="7"/>
  <c r="E214" i="7" s="1"/>
  <c r="G214" i="7" s="1"/>
  <c r="G45" i="7"/>
  <c r="D213" i="7"/>
  <c r="E213" i="7" s="1"/>
  <c r="G213" i="7" s="1"/>
  <c r="G103" i="5"/>
  <c r="G102" i="5"/>
  <c r="G101" i="5"/>
  <c r="G100" i="5"/>
  <c r="G99" i="5"/>
  <c r="G98" i="5"/>
  <c r="G97" i="5"/>
  <c r="G96" i="5"/>
  <c r="G95" i="5"/>
  <c r="G94" i="5"/>
  <c r="G93" i="5"/>
  <c r="G92" i="5"/>
  <c r="G18" i="3" l="1"/>
  <c r="G228" i="7"/>
  <c r="G20" i="3" s="1"/>
  <c r="G227" i="7"/>
  <c r="G19" i="3" s="1"/>
  <c r="G89" i="5"/>
  <c r="G88" i="5"/>
  <c r="G87" i="5"/>
  <c r="G86" i="5"/>
  <c r="G85" i="5"/>
  <c r="G84" i="5"/>
  <c r="G83" i="5"/>
  <c r="G82" i="5"/>
  <c r="G81" i="5"/>
  <c r="G80" i="5"/>
  <c r="G79" i="5"/>
  <c r="G78" i="5"/>
  <c r="G75" i="5"/>
  <c r="G74" i="5"/>
  <c r="G73" i="5"/>
  <c r="G72" i="5"/>
  <c r="G71" i="5"/>
  <c r="G70" i="5"/>
  <c r="G69" i="5"/>
  <c r="G68" i="5"/>
  <c r="G67" i="5"/>
  <c r="G66" i="5"/>
  <c r="G65" i="5"/>
  <c r="G64" i="5"/>
  <c r="G61" i="5"/>
  <c r="G60" i="5"/>
  <c r="G59" i="5"/>
  <c r="G58" i="5"/>
  <c r="G57" i="5"/>
  <c r="G56" i="5"/>
  <c r="G55" i="5"/>
  <c r="G54" i="5"/>
  <c r="G53" i="5"/>
  <c r="G52" i="5"/>
  <c r="G51" i="5"/>
  <c r="G50" i="5"/>
  <c r="G120" i="5"/>
  <c r="A77" i="5"/>
  <c r="A91" i="5" s="1"/>
  <c r="A105" i="5" s="1"/>
  <c r="A119" i="5" s="1"/>
  <c r="G230" i="7" l="1"/>
  <c r="G162" i="5"/>
  <c r="G173" i="5"/>
  <c r="E20" i="3" s="1"/>
  <c r="G21" i="3"/>
  <c r="G164" i="5"/>
  <c r="E11" i="3" s="1"/>
  <c r="G166" i="5"/>
  <c r="E13" i="3" s="1"/>
  <c r="G163" i="5"/>
  <c r="E10" i="3" s="1"/>
  <c r="G172" i="5"/>
  <c r="E19" i="3" s="1"/>
  <c r="G169" i="5"/>
  <c r="E16" i="3" s="1"/>
  <c r="G171" i="5"/>
  <c r="E18" i="3" s="1"/>
  <c r="G165" i="5"/>
  <c r="E12" i="3" s="1"/>
  <c r="G167" i="5"/>
  <c r="E14" i="3" s="1"/>
  <c r="G168" i="5"/>
  <c r="E15" i="3" s="1"/>
  <c r="G170" i="5"/>
  <c r="E17" i="3" s="1"/>
  <c r="A133" i="5"/>
  <c r="A147" i="5" s="1"/>
  <c r="E9" i="3" l="1"/>
  <c r="M9" i="3" s="1"/>
  <c r="G175" i="5"/>
  <c r="M14" i="3"/>
  <c r="M11" i="3"/>
  <c r="M12" i="3"/>
  <c r="M19" i="3"/>
  <c r="M17" i="3"/>
  <c r="M10" i="3"/>
  <c r="M15" i="3"/>
  <c r="M16" i="3"/>
  <c r="M13" i="3"/>
  <c r="M18" i="3"/>
  <c r="E21" i="3" l="1"/>
  <c r="M20" i="3"/>
  <c r="M21" i="3" l="1"/>
  <c r="C9" i="2" l="1"/>
  <c r="C27" i="2" l="1"/>
  <c r="C29" i="2" s="1"/>
  <c r="C34" i="2" l="1"/>
  <c r="C35" i="2" s="1"/>
  <c r="C37" i="2" s="1"/>
</calcChain>
</file>

<file path=xl/sharedStrings.xml><?xml version="1.0" encoding="utf-8"?>
<sst xmlns="http://schemas.openxmlformats.org/spreadsheetml/2006/main" count="2535" uniqueCount="481">
  <si>
    <t xml:space="preserve">ISAN 12 d.o.o. </t>
  </si>
  <si>
    <t>Podjetje za vzdrževanje in gradnjo objekta</t>
  </si>
  <si>
    <t>Ankaranska cesta 5 c</t>
  </si>
  <si>
    <t>6000 KOPER</t>
  </si>
  <si>
    <t>investittor</t>
  </si>
  <si>
    <t xml:space="preserve">objekt </t>
  </si>
  <si>
    <t>del projekta</t>
  </si>
  <si>
    <t>faza projekta</t>
  </si>
  <si>
    <t xml:space="preserve">datum </t>
  </si>
  <si>
    <t>SKUPAJ brez DDV</t>
  </si>
  <si>
    <t>DDV 22 %</t>
  </si>
  <si>
    <t>SKUPAJ z DDV</t>
  </si>
  <si>
    <t>SKUPNA REKAPITULACIJA</t>
  </si>
  <si>
    <t>KANALIZACIJA</t>
  </si>
  <si>
    <t>Zakoličba in zavarovanje obstoječih komunalnih vodov (kanalizacija, elektro, telekomunikacijske naprave, vodovod,…) po pregledu in navodilih upravljalcev infrastrukture. V ceni so zajeta vsa dodatna in zaščitna dela.</t>
  </si>
  <si>
    <t>kos</t>
  </si>
  <si>
    <t>m3</t>
  </si>
  <si>
    <t>m2</t>
  </si>
  <si>
    <t>Trasiranje kanalizacije, obnovitev in zavarovanje osi trase. V ceni so zajeta vsa dodatna in zaščitna dela.</t>
  </si>
  <si>
    <t>m</t>
  </si>
  <si>
    <t>Postavljavljanje gradbenih profilov na mestih, kjer se trasa smerno ali višinsko spremeni. V ceni so zajeta vsa dodatna in zaščitna dela.</t>
  </si>
  <si>
    <t xml:space="preserve">III. kat. </t>
  </si>
  <si>
    <t xml:space="preserve">Izvedba križanja kanalizacije z vodovodom  na način, da se vodovodne cevi obloži v dve polovici PVC cevi primernega premera, vodovodno cev pa obsipa s peskom tako, da leži v osi zaščitne cevi v dolžini 4 m. V ceni je zajeta zakoličba vodovoda, izvajanje del po navodilih upravljavca, dodatni ročno-strojni izkopi, opaži, vsa potrebna opiranja in razpiranja in čiščenja ter vsa ostala pomožna dela. Obračun po dejanskih količinah. </t>
  </si>
  <si>
    <t>Ročno planiranje dna kanala po projektirani niveleti s točnostjo +- 1 cm. V ceni so zajeta vsa dodatna in zaščitna dela.</t>
  </si>
  <si>
    <t>Izdelava priključka nove kanalizacije na obstoječo kanalizacijo. V ceni so zajeta vsa dodatna in zaščitna dela.</t>
  </si>
  <si>
    <t>MESTNA OBČINA KOPER</t>
  </si>
  <si>
    <t>Verdijeva 10</t>
  </si>
  <si>
    <t xml:space="preserve">SEKUNDARNO KANALIZACIJSKO </t>
  </si>
  <si>
    <t>OMREŽJE ŠKOFIJE</t>
  </si>
  <si>
    <t>ŠKOFIJE 2. FAZA</t>
  </si>
  <si>
    <t>I.</t>
  </si>
  <si>
    <t>PREDDELA</t>
  </si>
  <si>
    <t>kanal FT 12</t>
  </si>
  <si>
    <t>kanal FT 12-18</t>
  </si>
  <si>
    <t>kanal FT 12-21</t>
  </si>
  <si>
    <t>kanal FT 12-25</t>
  </si>
  <si>
    <t>kanal FT 12-28</t>
  </si>
  <si>
    <t>kanal FT 12-34</t>
  </si>
  <si>
    <t>kanal FT 12-13</t>
  </si>
  <si>
    <t>kanal FT 29</t>
  </si>
  <si>
    <t>kanal FT 29-12</t>
  </si>
  <si>
    <t>kanal FT 29-12-1</t>
  </si>
  <si>
    <t>kanal FT 29-15</t>
  </si>
  <si>
    <t>kanal FT 29-18</t>
  </si>
  <si>
    <t>kanal FT 29-25</t>
  </si>
  <si>
    <t>kanal FT 29-1</t>
  </si>
  <si>
    <t>kanal FT 42</t>
  </si>
  <si>
    <t>kanal FT 46</t>
  </si>
  <si>
    <t>kanal FT 52</t>
  </si>
  <si>
    <t>kanal FT 46-2</t>
  </si>
  <si>
    <t>kanal FT 19</t>
  </si>
  <si>
    <t>kanal FT 19-13</t>
  </si>
  <si>
    <t>kanal FT 19-19</t>
  </si>
  <si>
    <t>Rušenje vseh vrst kamnitih, betonskih in AB zidov.V ceni je zajeta strojno ročna odstranitev zidov in temeljev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</si>
  <si>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Rušenje vseh vrst kamnitih, betonskih in AB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</si>
  <si>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Rušenje vseh vrst asfaltnih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</si>
  <si>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m1</t>
  </si>
  <si>
    <t>I.PREDDELA</t>
  </si>
  <si>
    <t>III.KANALIZACIJA</t>
  </si>
  <si>
    <t>IV.ZAKLJ. DELA</t>
  </si>
  <si>
    <t>SKUPAJ :</t>
  </si>
  <si>
    <t>REKAPITULACIJA - fekalna kanalizacija</t>
  </si>
  <si>
    <t>skupaj :</t>
  </si>
  <si>
    <t>II.</t>
  </si>
  <si>
    <t>III.</t>
  </si>
  <si>
    <t>ZAKLJUČNA DELA</t>
  </si>
  <si>
    <t>IV.</t>
  </si>
  <si>
    <t>REKAPITULACIJA - meteorna kanalizacija</t>
  </si>
  <si>
    <t>kanal met II - 1</t>
  </si>
  <si>
    <t>kanal met II - 1-32</t>
  </si>
  <si>
    <t>kanal met II - 2-3</t>
  </si>
  <si>
    <t>kanal met II - 3</t>
  </si>
  <si>
    <t>Ponovna izdelava tlakov-vzpostavitev obstoječega stanja - vseh vrst (beton, kamniti tlak, venecijan…), v debelini 10-15 cm. V ceni je zajeta dobava vseh potrebnih materialov na mesto vgradnje, izkop, planiranje terena v mat,III.-IV.ktg, obnova tlakov v prvotno stanje, fugiranje s cem.malto 1:3 ter vsa dodatna in zaščitna dela.</t>
  </si>
  <si>
    <t>Evidentiranje obstoječega stanja stavb in ostalih objektov ob predvideni trasi. V ceni je zajet pregled in popis obstoječega stanja z popisom obstoječih poškodb, pozicioniranjem kontrolnih točk, vgradnjo plomb na obstoječe razpoke, izdelavo nivelmanskega poligona, periodičnim spremlanjem sprememb ter vsa dodatna in zaščitna dela.</t>
  </si>
  <si>
    <t>Dobava materiala na mesto vgradnje in obnova porušenih kamnitih zidov deb.50 cm in debelejši, zidanih z lomljencem v cementni malti na eno lice. V ceni je zajeta ročna priprava za temelj zidu v mat.III.do IV.ktg, nabava in priprava in obdelava obstoječega in manjkajočega lomljenca -do 30%, zastavljanje zidov, zidanje z lomljencem na eno lice, fugiranje zidu ter vsa dodatna in zaščitna dela.</t>
  </si>
  <si>
    <t>Čiščenje podlage in pobrizg z bitumensko emulzijo 0,40 kg/m2. V ceni so zajeta vsa dodatna in zaščitna dela.</t>
  </si>
  <si>
    <t>Doplačilo za izvedbo asfaltne mulde širine 50 cm, min. globine 8 cm. V ceni so zajeta vsa dodatna in zaščitna dela.</t>
  </si>
  <si>
    <t>ZEMELJSKA IN BETONSKA DELA</t>
  </si>
  <si>
    <t>II.ZEM.BET. DELA</t>
  </si>
  <si>
    <t>Dobava materiala na mesto vgradnje in hidroizolacijska zaščita betonskih, AB in kamnitih sten in temeljev obstoječih objektov. V ceni je zajet ročni izkop in čiščenje površin, fugiranje razpok in fug z vodoneprepustno fugirno maso, zidarsko obdelavo površin, izvedbo zunanje hidroizolacije- npr. izotekt 4, zaščita hdroizolacije, pazljivi zasip ter vsa dodatna in zaščitna dela. Obračun po dejansko izvedenih delih, naročenih in potrjenih s strani nadzornega organa.</t>
  </si>
  <si>
    <t>kanal MET II - 1</t>
  </si>
  <si>
    <t>kanal MET II - 1 - 32</t>
  </si>
  <si>
    <t>kanal MET II - 3</t>
  </si>
  <si>
    <t>kanal MET II 2 - 3</t>
  </si>
  <si>
    <t>Dobava materiala na mesto vgradnje in izdelava izpustne glave na cevovodu premera 60 cm z obbetoniranjem cevi z betonom  C25/30;XC2 in izdelavo tlakovane brežine z lomljencem min. debeline 40 cm vtisnjeniim v zemljino. V ceni je zajet izkop, zasip  in planiranje brežine s prilagoditvijo na obstoječi tren, zatravitev ranjenih površin ter vsa dodatna in zaščitna dela.               PO DETAJLU</t>
  </si>
  <si>
    <t>Dobava materiala na mesto vgradnje in izdelava izpustne glave na cevovodu premera 40 cm z obbetoniranjem cevi z betonom  C25/30;XC2 in izdelavo tlakovane brežine z lomljencem min. debeline 40 cm vtisnjeniim v zemljino. V ceni je zajet izkop, zasip  in planiranje brežine s prilagoditvijo na obstoječi tren, zatravitev ranjenih površin ter vsa dodatna in zaščitna dela.               PO DETAJLU</t>
  </si>
  <si>
    <t>Dobava materiala na mesto vgradnje in izdelava izpustne glave na cevovodu premera 30 cm z obbetoniranjem cevi z betonom  C25/30;XC2 in izdelavo tlakovane brežine z lomljencem min. debeline 40 cm vtisnjeniim v zemljino. V ceni je zajet izkop, zasip  in planiranje brežine s prilagoditvijo na obstoječi tren, zatravitev ranjenih površin ter vsa dodatna in zaščitna dela.               PO DETAJLU</t>
  </si>
  <si>
    <t>2+1+10+6</t>
  </si>
  <si>
    <t>Rušenje vseh vrst kamnitih tlakov, betonskih in AB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</si>
  <si>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1+6+1+2</t>
  </si>
  <si>
    <t>(70+48)*5,6</t>
  </si>
  <si>
    <t>(7+11+56+8+27)*5,60</t>
  </si>
  <si>
    <t>75,0*5,60</t>
  </si>
  <si>
    <t>75,00*5,60</t>
  </si>
  <si>
    <t>58,00*5,60</t>
  </si>
  <si>
    <t>113,00*5,60</t>
  </si>
  <si>
    <t>57,0*2,20+44,0*2,20</t>
  </si>
  <si>
    <t>138,06*2,10</t>
  </si>
  <si>
    <t>120,15*2,10</t>
  </si>
  <si>
    <t>239,50*2,30</t>
  </si>
  <si>
    <t>40,00*5,60</t>
  </si>
  <si>
    <t>59,0*1,2</t>
  </si>
  <si>
    <t>32,0*1,2+4,0*2,0</t>
  </si>
  <si>
    <t>(2,50+2,50)*1,20</t>
  </si>
  <si>
    <t>45,0*1,20</t>
  </si>
  <si>
    <t>FEKALNA KANALIZACIJA</t>
  </si>
  <si>
    <t>METEORNA KANALIZACIJA</t>
  </si>
  <si>
    <t>109,0*0,20</t>
  </si>
  <si>
    <t>(757,33-(55,0+39,0+18,0+38,0))*2,30*0,20</t>
  </si>
  <si>
    <t>72,77*2,3*0,20</t>
  </si>
  <si>
    <t>((280,4-(11+8+28))*2,30*0,20</t>
  </si>
  <si>
    <t>(757,33-(55,0+39,0+18,0+38,0))*0,5</t>
  </si>
  <si>
    <t>109,0*0,50</t>
  </si>
  <si>
    <t>72,77*0,50</t>
  </si>
  <si>
    <t>((280,4-(11+8+28))*0,50)</t>
  </si>
  <si>
    <t>54,76*2,3*0,20</t>
  </si>
  <si>
    <t>54,76*0,50</t>
  </si>
  <si>
    <t>(55,0+39,0+18,0+38,0)*0,10</t>
  </si>
  <si>
    <t>(242,10-109,0)*0,10</t>
  </si>
  <si>
    <t>134,06*0,10</t>
  </si>
  <si>
    <t>235,50*0,10</t>
  </si>
  <si>
    <t>98,79*0,10</t>
  </si>
  <si>
    <t>85,68*0,10</t>
  </si>
  <si>
    <t>(11+8+28)*0,10</t>
  </si>
  <si>
    <t>72,33*0,10</t>
  </si>
  <si>
    <t>157,99*0,10</t>
  </si>
  <si>
    <t>(55,0+39,0+18,0+38,0)*0,25</t>
  </si>
  <si>
    <t>(242,10-109,0)*0,25</t>
  </si>
  <si>
    <t>134,06*0,25</t>
  </si>
  <si>
    <t>235,50*0,25</t>
  </si>
  <si>
    <t>98,79*0,25</t>
  </si>
  <si>
    <t>85,68*0,25</t>
  </si>
  <si>
    <t>(11+8+28)*0,25</t>
  </si>
  <si>
    <t>72,33*0,25</t>
  </si>
  <si>
    <t>157,99*0,25</t>
  </si>
  <si>
    <t>(55,0+39,0+18,0+38,0)*0,75</t>
  </si>
  <si>
    <t>(242,10-109,0)*0,65</t>
  </si>
  <si>
    <t>134,06*0,65</t>
  </si>
  <si>
    <t>235,50*0,70</t>
  </si>
  <si>
    <t>98,79*0,65</t>
  </si>
  <si>
    <t>85,68*0,65</t>
  </si>
  <si>
    <t>72,33*0,65</t>
  </si>
  <si>
    <t>157,99*0,70</t>
  </si>
  <si>
    <t>2,5*1,5*4</t>
  </si>
  <si>
    <t>145,00*2,05</t>
  </si>
  <si>
    <t>135,00*4,50</t>
  </si>
  <si>
    <t>139,00*4,00</t>
  </si>
  <si>
    <t>239,50*5,50</t>
  </si>
  <si>
    <t>70,00*3,50</t>
  </si>
  <si>
    <t>(11+8+28+105)*0,80</t>
  </si>
  <si>
    <t>(11+8+28+105)*4,00</t>
  </si>
  <si>
    <t>11+8+28+105</t>
  </si>
  <si>
    <t>28*3,50</t>
  </si>
  <si>
    <t>25,7*5,6*0,20</t>
  </si>
  <si>
    <t>185,42*5,6*0,2</t>
  </si>
  <si>
    <t>25,7*0,57</t>
  </si>
  <si>
    <t>185,42*0,75</t>
  </si>
  <si>
    <t>41*0,50</t>
  </si>
  <si>
    <t>II.ZEM.BET.DELA</t>
  </si>
  <si>
    <t>25,7*5,6</t>
  </si>
  <si>
    <t>185,42*5,6</t>
  </si>
  <si>
    <t xml:space="preserve"> </t>
  </si>
  <si>
    <t>76*0,50</t>
  </si>
  <si>
    <t>12,00*0,50</t>
  </si>
  <si>
    <t>26,00*0,50</t>
  </si>
  <si>
    <t>34,00*0,50</t>
  </si>
  <si>
    <t>59,00*1,50</t>
  </si>
  <si>
    <t>11,5*0,8+10,0*1,2</t>
  </si>
  <si>
    <t>57,0+44,0</t>
  </si>
  <si>
    <t>KANAL FT 12-18</t>
  </si>
  <si>
    <t>KANAL FT 19</t>
  </si>
  <si>
    <t>Izkop kanala za položitev jaška črpališča in kanalizacijskih cevi, skupaj s sprotnim nakladanjem na kamion ter z vsemi pomožnimi deli, čiščenjem ceste, usmerjanjem prometa ter izdelavo vseh prehodov. Zakoličba in izkop na območju drugih infrastrukturnih naprav se mora izvajati pod nadzorom upravljalcev teh naprav. V ceni je zajeto tudi črpanje vode iz kanala po potrebi, izdelava začasnih dostopov stanovalcem v času gradnje ter vsa dodatna in zaščitna dela. Obračun po dejansko izvršenih delih. Struktura izkopa ocenjena. Skupna količina izkopa              (m3)</t>
  </si>
  <si>
    <t>delež izkopa z nakladanjem na kamion</t>
  </si>
  <si>
    <t>23.7*(4+8)/2</t>
  </si>
  <si>
    <t xml:space="preserve">IV. kat. </t>
  </si>
  <si>
    <t xml:space="preserve">V. kat. </t>
  </si>
  <si>
    <t>Dobava na mesto vgradnje in vgrajevanje podložne plasti temelja črpališče iz cementnega betona C12/15;XC2, min. debeline sloja 10 cm. V ceni so zajeta vsa dodatna in zaščitna dela.</t>
  </si>
  <si>
    <t>Dobava na mesto vgradnje in vgrajevanje armiranobetosnke temeljne plošče črpališča iz cementnega betona C25/30;XC2. V ceni so zajeta vsa dodatna in zaščitna dela z opaženjem.</t>
  </si>
  <si>
    <t>0.40*4.53</t>
  </si>
  <si>
    <t>0.2*4.53</t>
  </si>
  <si>
    <t>Dobava na mesto vgradnje in vgrajevanje podložne plasti krovne plošče črpališče iz cementnega betona C12/15;XC2, min. debeline sloja 10 cm. V ceni so zajeta vsa dodatna in zaščitna dela.</t>
  </si>
  <si>
    <t>3.0*3.0*0.1</t>
  </si>
  <si>
    <t>3.0*3.0*0.2</t>
  </si>
  <si>
    <t>Zasip jaška črpališča s tamponskim drobljencem - vgrajevanim v plasteh po 20 cm s sprotno komprimacijo. V ceni so zajeta vsa dodatna in zaščitna dela.</t>
  </si>
  <si>
    <t>kpl</t>
  </si>
  <si>
    <t>Izdelava cevovoda zračnika PVC DN160 SN 4, z zaključno inox nadzemno gobico.</t>
  </si>
  <si>
    <t>Armatura za armiranje krovne in temljne plošče</t>
  </si>
  <si>
    <t>kg</t>
  </si>
  <si>
    <t>Inox cevovod FF DN 65 L=2150mm</t>
  </si>
  <si>
    <t>Inox cevovod FF DN 65 L=1100mm</t>
  </si>
  <si>
    <t>Nožasti zasun DN 65</t>
  </si>
  <si>
    <t>Spojka za PEHD DN90</t>
  </si>
  <si>
    <t>Drobni material</t>
  </si>
  <si>
    <t>PZI</t>
  </si>
  <si>
    <t>POPIS DEL S STROŠKOVNO OCENO</t>
  </si>
  <si>
    <t>57,0*5,0+44,0*4,0</t>
  </si>
  <si>
    <t>Začasna odstranitev in ponovna  vgradnja obstoječe žične ograje, komplet s stebri in žičnim pletivom. V ceni je zajeta pazljiva demontaža in hramba vseh elementov obstoječe ograje tekom gradnje, ponovna izdelava temeljev-komplet z izkopom in betoniranjem z betonom C20/25;Cx1, postavitev ograje, nabava vseh potrebnih materialov na mesto vgradnje ter vsa dodatna in zaščitna dela.</t>
  </si>
  <si>
    <t>GRADBENA DELA</t>
  </si>
  <si>
    <t>STROJNA DELA</t>
  </si>
  <si>
    <t>REKAPITULACIJA</t>
  </si>
  <si>
    <t>A</t>
  </si>
  <si>
    <t>B</t>
  </si>
  <si>
    <t>Dobava in izdelava GRP jaška črpališča premera DN1600mm SN10000 globine 3,5m z vgrajenim dnom in ražširitvenim obodom po dnu 0,3m. V ceni je zajeta vgradnja jaška, sidranje po detajlu proizvajalca, ves material za postavitev ter vsa dodatna in zaščitna dela..</t>
  </si>
  <si>
    <t>757,33*0,9</t>
  </si>
  <si>
    <t>242,10*0,9</t>
  </si>
  <si>
    <t>134,06*0,9</t>
  </si>
  <si>
    <t>57,0*2,20</t>
  </si>
  <si>
    <t>6.</t>
  </si>
  <si>
    <t>ČRPALIŠČI - gradbeno-strojni del</t>
  </si>
  <si>
    <t>ČRPALIŠČI - gradbena dela za elektro inštalacije</t>
  </si>
  <si>
    <t xml:space="preserve">Izdelava eno cevne kabelske kanalizacije komplet z izkopom jarka globine 0,8 m v materialu IV. ktg., planiranjem dna min. širine 30 cm, dobavo in nasutjem peska 0-7 mm v min. sloju 10 cm pod in nad cevmi, dobavo in polaganjem cevi, zasutje jarka s tamponom, dobavo in polaganjem ozemljila 25x4 mm in PVC opozorilnega traku, komplet z utrditvijo zasipa do zahtevane zbitosi, odvozom odvečnega materiala na razdaljo do 15 km in predajo pooblaščenemu prevzemniku. V ceni je zajeta ureditev gradbišča po končanih delih ter vsa dodatna in zaščitna dela. </t>
  </si>
  <si>
    <t>215,00*0,90</t>
  </si>
  <si>
    <t>Izdelava tipskega AB kabelskega jaška pod razdelilnikom s PVC uvodnicami za cev fi 110 mm, litoželeznim pokrovom težke izvedbe, komplet z izkopom v IV ktg., planiranjem dna jarka, montažo in demontažo dvostranskega opaža temeljev, sten in krovne pološče, dobavo in vgradnjo armature, dobavo in vgradnjo betona C25/30;XC2,  zasutjem s tamponom v plasteh po 30 cm in utrditvijo do zahtevane zbitosti, očiščenjem terena in odvozom odvečnega materiala na razdaljo do 15 km in predajo pooblaščenemu prevzemniku, komplet s statičnim izračunom in elaboratom, naslednjih velikosti: 0,80x0,80x0,80 m. V ceni so zajeta vsa dodatna in zaščitna dela.</t>
  </si>
  <si>
    <t>Izdelava tipskega AB kabelskega jaška s PVC uvodnicami za cev fi 110 mm, litoželeznim pokrovom težke izvedbe, komplet z izkopom v IV ktg., planiranjem dna jarka, montažo in demontažo dvostranskega opaža temeljev, sten in krovne pološče, dobavo in vgradnjo armature, dobavo in vgradnjo betona C25/30;XC2,  zasutjem s tamponom v plasteh po 30 cm in utrditvijo do zahtevane zbitosti, očiščenjem terena in odvozom odvečnega materiala na razdaljo do 15 km in predajo pooblaščenemu prevzemniku, komplet s statičnim izračunom in elaboratom, naslednjih velikosti:  1,20x1,20x1,20 m. V ceni so zajeta vsa dodatna in zaščitna dela.</t>
  </si>
  <si>
    <t xml:space="preserve">B </t>
  </si>
  <si>
    <t xml:space="preserve">REKAPITULACIJA </t>
  </si>
  <si>
    <t>Trasiranje elektrovoda, obnovitev in zavarovanje osi trase. V ceni so zajeta vsa dodatna in zaščitna dela.</t>
  </si>
  <si>
    <t>47,00*2,20</t>
  </si>
  <si>
    <t>47,00*0,90</t>
  </si>
  <si>
    <t>cevni razvod STIGMAFLEX 1 fi 110 mm</t>
  </si>
  <si>
    <r>
      <t xml:space="preserve">ČRPALIŠČI - elektroinstalacije </t>
    </r>
    <r>
      <rPr>
        <b/>
        <i/>
        <sz val="8"/>
        <rFont val="Arial"/>
        <family val="2"/>
        <charset val="238"/>
      </rPr>
      <t>(po nač. elektroinstalacij)</t>
    </r>
  </si>
  <si>
    <t>4*4+2.6*2.6</t>
  </si>
  <si>
    <t>2.8*2.8*0.1+2.6*2.6*0.1</t>
  </si>
  <si>
    <t>Dobava na mesto vgradnje in vgrajevanje podložne plasti armaturne celice črpališča iz cementnega betona C12/15;XC2, min. debeline sloja 10 cm. V ceni so zajeta vsa dodatna in zaščitna dela.</t>
  </si>
  <si>
    <t>2.7*1.9*0.1</t>
  </si>
  <si>
    <t>Izdelava a.b. revizijskega jaška dimenzije 2.0X1.2m, globine 1.10m, z debelino stene 0.15m iz cementnega betona C35/45 XD2. V ceni so zajeta vsa dodatna in zaščitna dela z opaženjem.</t>
  </si>
  <si>
    <t>Izvedba mulde v jašku črpališču iz cementnega betona C35/40; XD2. V ceni so zajeta vsa dodatna in zaščitna dela z opaženjem.</t>
  </si>
  <si>
    <t>Dobava na mesto vgradnje in vgrajevanje armiranobetosnke krovne plošče črpališča iz cementnega betona C35/40;XD2. V ceni so zajeta vsa dodatna in zaščitna dela z opaženjem.</t>
  </si>
  <si>
    <t>3.45*0.15+(3.45-2.4)*1.1</t>
  </si>
  <si>
    <t>Dobava in montaža kanalskega pohodnega inox pokrova črpališča dim. 0.7X1.2m z okvirjem, min. nosilnosti A125, EN 124 tip inoxvrbovšek ali enakovredne kakovosti. Skupaj z vsemi dodatnimi in zaščitnimi deli .</t>
  </si>
  <si>
    <t>Dobava in montaža kanalskega pohodnega inox pokrova črpališča dim. 2.0X1.2m z okvirjem, min. nosilnosti A125, EN 124 tip inoxvrbovšek ali enakovredne kakovosti. Skupaj z vsemi dodatnimi in zaščitnimi deli .</t>
  </si>
  <si>
    <t>Armatura za armiranje jaška armaturne celice</t>
  </si>
  <si>
    <t>Inox cevovod FF DN 50 L=2150mm</t>
  </si>
  <si>
    <t>Inox cevovod FF DN 50 L=1100mm</t>
  </si>
  <si>
    <t>Dobava 2-črpalk za fekalne odpadne vode (tip. ABS Piranha PE55/2D) z materialom potrebnim za montažo in priklop na tlačni vod ter montažo.</t>
  </si>
  <si>
    <t>Inox cevovod FF DN 65 L=1000mm</t>
  </si>
  <si>
    <t>Inox cevovod FF DN 65 L=800mm</t>
  </si>
  <si>
    <t>Montažni demontažni kos DN65</t>
  </si>
  <si>
    <t>Nožasti zasun DN 50</t>
  </si>
  <si>
    <t>Fazon FFK DN 65 45°</t>
  </si>
  <si>
    <t>Inox fazon Q DN 50</t>
  </si>
  <si>
    <t>Inox fazon Q DN 65</t>
  </si>
  <si>
    <t>Inox fazon TT po shemi</t>
  </si>
  <si>
    <t>Merilec pretoka Endress-Hauser Promag 10W65 z inox ohišjem, materialom potrebnim za montažo ter montažo.</t>
  </si>
  <si>
    <t>Krogelni protipovratni ventil DN50</t>
  </si>
  <si>
    <t>ČRPALIŠČE FT 12-18 - gradbeno-strojni del</t>
  </si>
  <si>
    <t>ČRPALIŠČE FT 19 - gradbeno-strojni del</t>
  </si>
  <si>
    <t>Fazon FFR 65/80</t>
  </si>
  <si>
    <t>ČRPALIŠČE  FT 19 - gradbeno-strojni del</t>
  </si>
  <si>
    <t>ŠKOFIJE 2. FAZA - II.ETAPA</t>
  </si>
  <si>
    <t>38.05*0,9</t>
  </si>
  <si>
    <t>38.05*0,10</t>
  </si>
  <si>
    <t>38,05*0,25</t>
  </si>
  <si>
    <t>38.05*0,65</t>
  </si>
  <si>
    <t>175*2,75</t>
  </si>
  <si>
    <t>175*0,71</t>
  </si>
  <si>
    <t>180,00*1,5</t>
  </si>
  <si>
    <t>38*2,20</t>
  </si>
  <si>
    <t>40*2,10</t>
  </si>
  <si>
    <t>40,00*4,50</t>
  </si>
  <si>
    <t>Iztok Kleibencetl</t>
  </si>
  <si>
    <t>Odgovorni projektant:</t>
  </si>
  <si>
    <t>72.77*0.9</t>
  </si>
  <si>
    <t>54.76*0.9</t>
  </si>
  <si>
    <t>235.5*0.9</t>
  </si>
  <si>
    <t>98.76*0.9</t>
  </si>
  <si>
    <t>85.68*0.9</t>
  </si>
  <si>
    <t>280.4*0.9</t>
  </si>
  <si>
    <t>72.33*0.9</t>
  </si>
  <si>
    <t>157.99*0.9</t>
  </si>
  <si>
    <t>Dobava črpalke za fekalne odpadne vode (tip. ABS Piranha PE55/2D ali enakovredna) z materialom potrebnim za montažo in priklop na tlačni vod ter montažo.</t>
  </si>
  <si>
    <t>Dobava rezervne črpalke (tip. ABS Piranha PE55/2D ali enakovredna).</t>
  </si>
  <si>
    <t>ČRPALIŠČI - elektroinstalacije</t>
  </si>
  <si>
    <t>CENA/ ENOTO</t>
  </si>
  <si>
    <t>NN kablovod za napajanje črpališča F12-18</t>
  </si>
  <si>
    <t>6.A</t>
  </si>
  <si>
    <t>6.B</t>
  </si>
  <si>
    <t>NN merilna priključna omarica</t>
  </si>
  <si>
    <t>D</t>
  </si>
  <si>
    <t>Krmiljenje</t>
  </si>
  <si>
    <t>Radelilnik Rittal, AE 800x1000x300</t>
  </si>
  <si>
    <t>Glavno stikalo P1-32/EAJSVB-SW, nazivnega toka 32A</t>
  </si>
  <si>
    <t>Dobava na mesto vgradnje in strojna izdelava nosilne plasti iz bituminiziranega drobljenca AC16 base, B 50/70 A3 v povprečni debelini 5 cm. V ceni je zajeta izdelava v projektiranih padcih in naklonih ter vsa dodatna in zaščitna dela.</t>
  </si>
  <si>
    <r>
      <rPr>
        <b/>
        <sz val="9"/>
        <rFont val="Arial"/>
        <family val="2"/>
      </rPr>
      <t>ST.</t>
    </r>
  </si>
  <si>
    <r>
      <rPr>
        <b/>
        <sz val="9"/>
        <rFont val="Arial"/>
        <family val="2"/>
      </rPr>
      <t>NAZIV</t>
    </r>
  </si>
  <si>
    <r>
      <rPr>
        <b/>
        <sz val="9"/>
        <rFont val="Arial"/>
        <family val="2"/>
      </rPr>
      <t>ENOTA</t>
    </r>
  </si>
  <si>
    <r>
      <rPr>
        <b/>
        <sz val="9"/>
        <rFont val="Arial"/>
        <family val="2"/>
      </rPr>
      <t>KOL</t>
    </r>
  </si>
  <si>
    <r>
      <rPr>
        <b/>
        <sz val="9"/>
        <rFont val="Arial"/>
        <family val="2"/>
      </rPr>
      <t>NN priključek</t>
    </r>
  </si>
  <si>
    <r>
      <rPr>
        <sz val="9"/>
        <rFont val="Arial"/>
        <family val="2"/>
      </rPr>
      <t>Polaganje opozorilnega traku</t>
    </r>
  </si>
  <si>
    <r>
      <rPr>
        <sz val="9"/>
        <rFont val="Arial"/>
        <family val="2"/>
      </rPr>
      <t>m</t>
    </r>
  </si>
  <si>
    <r>
      <rPr>
        <sz val="9"/>
        <rFont val="Arial"/>
        <family val="2"/>
      </rPr>
      <t>Polaganje kabla NAYY-J 4x150+2 ,5 v cev STIGMAFLEX</t>
    </r>
  </si>
  <si>
    <r>
      <rPr>
        <sz val="9"/>
        <rFont val="Arial"/>
        <family val="2"/>
      </rPr>
      <t>Izdelava kab. glave za kable 70-150 mm2 in priključitev kabla v omarici =PMO-RG in v TP</t>
    </r>
  </si>
  <si>
    <r>
      <rPr>
        <sz val="9"/>
        <rFont val="Arial"/>
        <family val="2"/>
      </rPr>
      <t>kpi</t>
    </r>
  </si>
  <si>
    <r>
      <rPr>
        <sz val="9"/>
        <rFont val="Arial"/>
        <family val="2"/>
      </rPr>
      <t>Dobava in montaža valjanca FeZn 25x4mm</t>
    </r>
  </si>
  <si>
    <r>
      <rPr>
        <sz val="9"/>
        <rFont val="Arial"/>
        <family val="2"/>
      </rPr>
      <t>kpl</t>
    </r>
  </si>
  <si>
    <r>
      <rPr>
        <sz val="9"/>
        <rFont val="Arial"/>
        <family val="2"/>
      </rPr>
      <t>Kabel FG70R 5x1Omm2</t>
    </r>
  </si>
  <si>
    <r>
      <rPr>
        <sz val="9"/>
        <rFont val="Arial"/>
        <family val="2"/>
      </rPr>
      <t>Ostala drobna dela na kablovodih</t>
    </r>
  </si>
  <si>
    <r>
      <rPr>
        <sz val="9"/>
        <rFont val="Arial"/>
        <family val="2"/>
      </rPr>
      <t>kos</t>
    </r>
  </si>
  <si>
    <r>
      <rPr>
        <b/>
        <sz val="9"/>
        <rFont val="Arial"/>
        <family val="2"/>
      </rPr>
      <t>Skupaj:</t>
    </r>
  </si>
  <si>
    <r>
      <rPr>
        <b/>
        <sz val="9"/>
        <rFont val="Arial"/>
        <family val="2"/>
      </rPr>
      <t>Omarica -PMO-RG</t>
    </r>
  </si>
  <si>
    <r>
      <rPr>
        <sz val="9"/>
        <rFont val="Arial"/>
        <family val="2"/>
      </rPr>
      <t>Dobava  in montaža prostostoječe kabelske priključne omarice =PMO-RG, z enim okencem dimenzij 400 x 400 x 1600 (s strehico), tip MIKOMIINOX 316, izdelana po tipizaciji merilnih mest z vgrajeno opremo po spodnji specifikaciji, montirana na betonski podstavek (upoštevati tudi podstavek)</t>
    </r>
  </si>
  <si>
    <r>
      <rPr>
        <sz val="9"/>
        <rFont val="Arial"/>
        <family val="2"/>
      </rPr>
      <t>Multifunkcionalni direktni števec delovne energije ME381-D1A52 s
komunikatorjem GSM in tarifnim odklopnikom Z0-341 (25A)</t>
    </r>
  </si>
  <si>
    <r>
      <rPr>
        <sz val="9"/>
        <rFont val="Arial"/>
        <family val="2"/>
      </rPr>
      <t>Varovalčni ločilnik 160N3f- 1kpl z varovalkami 25A
Varovalčni ločilnik 1</t>
    </r>
    <r>
      <rPr>
        <i/>
        <sz val="9"/>
        <rFont val="Arial"/>
        <family val="2"/>
      </rPr>
      <t xml:space="preserve">OON3f- </t>
    </r>
    <r>
      <rPr>
        <sz val="9"/>
        <rFont val="Arial"/>
        <family val="2"/>
      </rPr>
      <t>1kpl z varovalkami 32A
Prenapetostna zaščita PROTEG B-C, 3+0,(8/20)-1kpl</t>
    </r>
  </si>
  <si>
    <r>
      <rPr>
        <sz val="9"/>
        <rFont val="Arial"/>
        <family val="2"/>
      </rPr>
      <t>Kovinsko tipkalo za RESET tarifnega odklopnika (IP65)</t>
    </r>
  </si>
  <si>
    <r>
      <rPr>
        <sz val="9"/>
        <rFont val="Arial"/>
        <family val="2"/>
      </rPr>
      <t>Drobni vgradni material,vezni material, montažne letve, sponke,
vijaki , ...</t>
    </r>
  </si>
  <si>
    <r>
      <rPr>
        <sz val="9"/>
        <rFont val="Arial"/>
        <family val="2"/>
      </rPr>
      <t>ocena</t>
    </r>
  </si>
  <si>
    <r>
      <rPr>
        <sz val="9"/>
        <rFont val="Arial"/>
        <family val="2"/>
      </rPr>
      <t>Kabel LiYCY 4x0,75mm2</t>
    </r>
  </si>
  <si>
    <r>
      <rPr>
        <sz val="10"/>
        <rFont val="Arial"/>
        <family val="2"/>
      </rPr>
      <t>m</t>
    </r>
  </si>
  <si>
    <r>
      <rPr>
        <sz val="9"/>
        <rFont val="Arial"/>
        <family val="2"/>
      </rPr>
      <t>Skupaj :</t>
    </r>
  </si>
  <si>
    <r>
      <rPr>
        <sz val="10"/>
        <rFont val="Arial"/>
        <family val="2"/>
      </rPr>
      <t>Poz.</t>
    </r>
  </si>
  <si>
    <r>
      <rPr>
        <sz val="10"/>
        <rFont val="Arial"/>
        <family val="2"/>
      </rPr>
      <t>Naziv</t>
    </r>
  </si>
  <si>
    <r>
      <rPr>
        <sz val="10"/>
        <rFont val="Arial"/>
        <family val="2"/>
      </rPr>
      <t>enota</t>
    </r>
  </si>
  <si>
    <r>
      <rPr>
        <sz val="10"/>
        <rFont val="Arial"/>
        <family val="2"/>
      </rPr>
      <t>kol.</t>
    </r>
  </si>
  <si>
    <r>
      <rPr>
        <sz val="10"/>
        <rFont val="Arial"/>
        <family val="2"/>
      </rPr>
      <t>Zunanja omara lnox 316, 1000x1600x400, Micomi</t>
    </r>
  </si>
  <si>
    <r>
      <rPr>
        <sz val="10"/>
        <rFont val="Arial"/>
        <family val="2"/>
      </rPr>
      <t>kpi</t>
    </r>
  </si>
  <si>
    <r>
      <rPr>
        <sz val="10"/>
        <rFont val="Arial"/>
        <family val="2"/>
      </rPr>
      <t>Razdelilnik Rittal, AE 800x1000x300</t>
    </r>
  </si>
  <si>
    <r>
      <rPr>
        <sz val="10"/>
        <rFont val="Arial"/>
        <family val="2"/>
      </rPr>
      <t>Glavno stikalo P1-32/EA/SVB-SW , nazivnega toka 32A</t>
    </r>
  </si>
  <si>
    <r>
      <rPr>
        <sz val="10"/>
        <rFont val="Arial"/>
        <family val="2"/>
      </rPr>
      <t>kos</t>
    </r>
  </si>
  <si>
    <r>
      <rPr>
        <sz val="10"/>
        <rFont val="Arial"/>
        <family val="2"/>
      </rPr>
      <t>Zvezni merilnik toka 50A, CC P 650ac, DAT-CON</t>
    </r>
  </si>
  <si>
    <r>
      <rPr>
        <sz val="10"/>
        <rFont val="Arial"/>
        <family val="2"/>
      </rPr>
      <t>Prenapetostni odvodnik PROTEC B-C s kontakti za
signalizacija delovanja zaščite</t>
    </r>
  </si>
  <si>
    <r>
      <rPr>
        <sz val="10"/>
        <rFont val="Arial"/>
        <family val="2"/>
      </rPr>
      <t>Svetilka z vtičnica za razsvetljavo razdelilnika, Rittal</t>
    </r>
  </si>
  <si>
    <r>
      <rPr>
        <sz val="10"/>
        <rFont val="Arial"/>
        <family val="2"/>
      </rPr>
      <t>Termostat Rittal</t>
    </r>
  </si>
  <si>
    <r>
      <rPr>
        <sz val="10"/>
        <rFont val="Arial"/>
        <family val="2"/>
      </rPr>
      <t>Grelec Rittal, 1OOW</t>
    </r>
  </si>
  <si>
    <r>
      <rPr>
        <sz val="10"/>
        <rFont val="Arial"/>
        <family val="2"/>
      </rPr>
      <t>Kontrolnik faz EMR4-F500-2, Eaton</t>
    </r>
  </si>
  <si>
    <r>
      <rPr>
        <sz val="10"/>
        <rFont val="Arial"/>
        <family val="2"/>
      </rPr>
      <t>Motorsko zaščitno stikalo PKZM0-1,6T+NHI11-PKZO</t>
    </r>
  </si>
  <si>
    <r>
      <rPr>
        <sz val="10"/>
        <rFont val="Arial"/>
        <family val="2"/>
      </rPr>
      <t>Motorsko zaščitno stikalo PKZM0-16+N H121-PKZO</t>
    </r>
  </si>
  <si>
    <r>
      <rPr>
        <sz val="10"/>
        <rFont val="Arial"/>
        <family val="2"/>
      </rPr>
      <t>Ločilni transformator 250VA</t>
    </r>
  </si>
  <si>
    <r>
      <rPr>
        <sz val="10"/>
        <rFont val="Arial"/>
        <family val="2"/>
      </rPr>
      <t>Kombinirani  napajalnik-UPS   TRIO-UPS/1 AC/5A</t>
    </r>
  </si>
  <si>
    <r>
      <rPr>
        <sz val="10"/>
        <rFont val="Arial"/>
        <family val="2"/>
      </rPr>
      <t>Baterija  QUINT-BAT/24VDC/7,2Ah</t>
    </r>
  </si>
  <si>
    <r>
      <rPr>
        <sz val="10"/>
        <rFont val="Arial"/>
        <family val="2"/>
      </rPr>
      <t>Instalacijski odklopnik C2A, 10kA</t>
    </r>
  </si>
  <si>
    <r>
      <rPr>
        <sz val="10"/>
        <rFont val="Arial"/>
        <family val="2"/>
      </rPr>
      <t>Instalacijski odklopnik s pom. kontakti C2A, 1OkA</t>
    </r>
  </si>
  <si>
    <r>
      <rPr>
        <sz val="10"/>
        <rFont val="Arial"/>
        <family val="2"/>
      </rPr>
      <t>Kombinirano dvopolno diferenčno zaščitno stikalo RCBO 16A/30mA</t>
    </r>
  </si>
  <si>
    <r>
      <rPr>
        <sz val="10"/>
        <rFont val="Arial"/>
        <family val="2"/>
      </rPr>
      <t>Kombinirano štiripolno diferenčno zaščitno stikalo RCBO 16A/30mA</t>
    </r>
  </si>
  <si>
    <r>
      <rPr>
        <sz val="10"/>
        <rFont val="Arial"/>
        <family val="2"/>
      </rPr>
      <t>Vtičnica za na letev 1f, Z7-SD/230</t>
    </r>
  </si>
  <si>
    <r>
      <rPr>
        <sz val="10"/>
        <rFont val="Arial"/>
        <family val="2"/>
      </rPr>
      <t>Vtičnica 3f, GW 62 431</t>
    </r>
  </si>
  <si>
    <r>
      <rPr>
        <sz val="10"/>
        <rFont val="Arial"/>
        <family val="2"/>
      </rPr>
      <t>Gobasta tipka za izklop v sili Eaton, 2xNC kontakt</t>
    </r>
  </si>
  <si>
    <r>
      <rPr>
        <sz val="10"/>
        <rFont val="Arial"/>
        <family val="2"/>
      </rPr>
      <t>Tipka črna Eaton, 1xNC kontakt</t>
    </r>
  </si>
  <si>
    <r>
      <rPr>
        <sz val="10"/>
        <rFont val="Arial"/>
        <family val="2"/>
      </rPr>
      <t>Preklopnik 1-0-2 Eaton, 4x NO kontakt</t>
    </r>
  </si>
  <si>
    <r>
      <rPr>
        <sz val="10"/>
        <rFont val="Arial"/>
        <family val="2"/>
      </rPr>
      <t>Tipka rdeča Eaton, 1xNC kontakt</t>
    </r>
  </si>
  <si>
    <r>
      <rPr>
        <sz val="10"/>
        <rFont val="Arial"/>
        <family val="2"/>
      </rPr>
      <t>Tipka zelena Eaton, 1xNC kontakt</t>
    </r>
  </si>
  <si>
    <r>
      <rPr>
        <sz val="10"/>
        <rFont val="Arial"/>
        <family val="2"/>
      </rPr>
      <t>Svetilka rdeča Eaton, 230VAC</t>
    </r>
  </si>
  <si>
    <r>
      <rPr>
        <sz val="10"/>
        <rFont val="Arial"/>
        <family val="2"/>
      </rPr>
      <t>Svetilka zelena Eaton, 230VAC</t>
    </r>
  </si>
  <si>
    <r>
      <rPr>
        <sz val="10"/>
        <rFont val="Arial"/>
        <family val="2"/>
      </rPr>
      <t>Končno stikalo XCK-J16AH29</t>
    </r>
  </si>
  <si>
    <r>
      <rPr>
        <sz val="10"/>
        <rFont val="Arial"/>
        <family val="2"/>
      </rPr>
      <t>Mehki zagon za črpalko MCD 50021, 1=21A</t>
    </r>
  </si>
  <si>
    <r>
      <rPr>
        <sz val="10"/>
        <rFont val="Arial"/>
        <family val="2"/>
      </rPr>
      <t>Zaščita črpalke TOM, Sulzer</t>
    </r>
  </si>
  <si>
    <r>
      <rPr>
        <sz val="10"/>
        <rFont val="Arial"/>
        <family val="2"/>
      </rPr>
      <t>Merilnik pretoka Proline Promag 1</t>
    </r>
    <r>
      <rPr>
        <sz val="11"/>
        <rFont val="Arial"/>
        <family val="2"/>
      </rPr>
      <t xml:space="preserve">OW, </t>
    </r>
    <r>
      <rPr>
        <sz val="10"/>
        <rFont val="Arial"/>
        <family val="2"/>
      </rPr>
      <t>E+H</t>
    </r>
  </si>
  <si>
    <r>
      <rPr>
        <sz val="10"/>
        <rFont val="Arial"/>
        <family val="2"/>
      </rPr>
      <t>Merilnik zveznega nivoja FMX167, E+H</t>
    </r>
  </si>
  <si>
    <r>
      <rPr>
        <sz val="10"/>
        <rFont val="Arial"/>
        <family val="2"/>
      </rPr>
      <t>Plovno stikalo</t>
    </r>
  </si>
  <si>
    <r>
      <rPr>
        <sz val="10"/>
        <rFont val="Arial"/>
        <family val="2"/>
      </rPr>
      <t>Galvanski ločilnik analognega signala MAZ DC/DC</t>
    </r>
  </si>
  <si>
    <r>
      <rPr>
        <sz val="10"/>
        <rFont val="Arial"/>
        <family val="2"/>
      </rPr>
      <t>Galvanski ločilnik digitalnega signala MOS 24VDC</t>
    </r>
  </si>
  <si>
    <r>
      <rPr>
        <sz val="10"/>
        <rFont val="Arial"/>
        <family val="2"/>
      </rPr>
      <t>Kontaktor DILM15-10 + DIL32-XHI22</t>
    </r>
  </si>
  <si>
    <r>
      <rPr>
        <sz val="10"/>
        <rFont val="Arial"/>
        <family val="2"/>
      </rPr>
      <t>Rele PT570730+YPT78704</t>
    </r>
  </si>
  <si>
    <r>
      <rPr>
        <sz val="10"/>
        <rFont val="Arial"/>
        <family val="2"/>
      </rPr>
      <t>Rele Omron G2R-2-SND , 24VDC , podnožje</t>
    </r>
  </si>
  <si>
    <r>
      <rPr>
        <sz val="10"/>
        <rFont val="Arial"/>
        <family val="2"/>
      </rPr>
      <t>Rele Omron G2R-2-SND, 230VAC , podnožje</t>
    </r>
  </si>
  <si>
    <r>
      <rPr>
        <sz val="10"/>
        <rFont val="Arial"/>
        <family val="2"/>
      </rPr>
      <t>Rele MRZ 24VDC, 1x preklopni kontakt, Weidmueller</t>
    </r>
  </si>
  <si>
    <r>
      <rPr>
        <sz val="10"/>
        <rFont val="Arial"/>
        <family val="2"/>
      </rPr>
      <t>Krmilnik Eaton XC-CPU201</t>
    </r>
  </si>
  <si>
    <r>
      <rPr>
        <sz val="10"/>
        <rFont val="Arial"/>
        <family val="2"/>
      </rPr>
      <t>Digitalni vhodni modul XIOC-1601</t>
    </r>
  </si>
  <si>
    <r>
      <rPr>
        <sz val="10"/>
        <rFont val="Arial"/>
        <family val="2"/>
      </rPr>
      <t>Analogni vhodni modul XIOC-4AI-2AO</t>
    </r>
  </si>
  <si>
    <r>
      <rPr>
        <sz val="10"/>
        <rFont val="Arial"/>
        <family val="2"/>
      </rPr>
      <t>Prikazovalnik EATON XV-102-7"</t>
    </r>
  </si>
  <si>
    <r>
      <rPr>
        <sz val="10"/>
        <rFont val="Arial"/>
        <family val="2"/>
      </rPr>
      <t>GSM Router RUT500 z omrežnim napajalnikom 230VAC</t>
    </r>
  </si>
  <si>
    <r>
      <rPr>
        <sz val="10"/>
        <rFont val="Arial"/>
        <family val="2"/>
      </rPr>
      <t>Sponke in varovalčne sponke , Weidmueller</t>
    </r>
  </si>
  <si>
    <r>
      <rPr>
        <sz val="10"/>
        <rFont val="Arial"/>
        <family val="2"/>
      </rPr>
      <t>Kabel Olflex Classic 110CY 7x0.75mm2</t>
    </r>
  </si>
  <si>
    <r>
      <rPr>
        <sz val="10"/>
        <rFont val="Arial"/>
        <family val="2"/>
      </rPr>
      <t>Kabel Olflex Classic 110CY 3x0.75mm2</t>
    </r>
  </si>
  <si>
    <r>
      <rPr>
        <sz val="10"/>
        <rFont val="Arial"/>
        <family val="2"/>
      </rPr>
      <t>Drobni in vezni material</t>
    </r>
  </si>
  <si>
    <r>
      <rPr>
        <sz val="10"/>
        <rFont val="Arial"/>
        <family val="2"/>
      </rPr>
      <t>Izdelava in postavitev razdelilnika</t>
    </r>
  </si>
  <si>
    <r>
      <rPr>
        <sz val="10"/>
        <rFont val="Arial"/>
        <family val="2"/>
      </rPr>
      <t>Aplikativna programska oprema za PLC in prikazovalnik</t>
    </r>
  </si>
  <si>
    <t>SKUPAJ</t>
  </si>
  <si>
    <r>
      <rPr>
        <sz val="9"/>
        <rFont val="Arial"/>
        <family val="2"/>
      </rPr>
      <t>Polaganje kabla NAYY-J 4x70+2,5 v cev STIGMAFLEX</t>
    </r>
  </si>
  <si>
    <r>
      <rPr>
        <sz val="9"/>
        <rFont val="Arial"/>
        <family val="2"/>
      </rPr>
      <t>Kabel NAYY-J 4x150mm2 z oporami pritrjen na oporišče</t>
    </r>
  </si>
  <si>
    <r>
      <rPr>
        <sz val="9"/>
        <rFont val="Arial"/>
        <family val="2"/>
      </rPr>
      <t>Izdelava kab. glave za kable 70-150 mm2 in priključitev kabla v
omarici =PMO-RG in v =M0-1</t>
    </r>
  </si>
  <si>
    <r>
      <rPr>
        <sz val="9"/>
        <rFont val="Arial"/>
        <family val="2"/>
      </rPr>
      <t>Tunelske sponke in pribor za priključitev kabla na prostozračni vod</t>
    </r>
  </si>
  <si>
    <r>
      <rPr>
        <sz val="9"/>
        <rFont val="Arial"/>
        <family val="2"/>
      </rPr>
      <t>kpJ</t>
    </r>
  </si>
  <si>
    <r>
      <rPr>
        <sz val="9"/>
        <rFont val="Arial"/>
        <family val="2"/>
      </rPr>
      <t>Kabel FG70R 5x10mm2</t>
    </r>
  </si>
  <si>
    <r>
      <rPr>
        <sz val="10"/>
        <rFont val="Arial"/>
        <family val="2"/>
      </rPr>
      <t>Skupaj:</t>
    </r>
  </si>
  <si>
    <r>
      <rPr>
        <i/>
        <sz val="10"/>
        <rFont val="Arial"/>
        <family val="2"/>
        <charset val="238"/>
      </rPr>
      <t>Omarica =M0-1</t>
    </r>
  </si>
  <si>
    <r>
      <rPr>
        <sz val="9"/>
        <rFont val="Arial"/>
        <family val="2"/>
      </rPr>
      <t>Dobava in montaža nadgrad ne kabelske priključne omarice -M0-1,
dimenzij 610 x 610 x 252, tip MIKOMI, izdelana po tipizaciji Elektra Primorske z vgrajeno opremo po spodnji specifikaciji, montirana na oporišče</t>
    </r>
  </si>
  <si>
    <r>
      <rPr>
        <sz val="9"/>
        <rFont val="Arial"/>
        <family val="2"/>
      </rPr>
      <t>Varovalčni ločilnik 250N3f- 1kpl z varovalkam i 50A
Varovalčni ločilnik 1</t>
    </r>
    <r>
      <rPr>
        <i/>
        <sz val="9"/>
        <rFont val="Arial"/>
        <family val="2"/>
      </rPr>
      <t xml:space="preserve">OON3f - </t>
    </r>
    <r>
      <rPr>
        <sz val="9"/>
        <rFont val="Arial"/>
        <family val="2"/>
      </rPr>
      <t>1kpl z varovalkami32A
Prenapetostna zaščita PROTEG B2S(R), 3+0,(8/20)-1kpl</t>
    </r>
  </si>
  <si>
    <r>
      <rPr>
        <sz val="9"/>
        <rFont val="Arial"/>
        <family val="2"/>
      </rPr>
      <t>Drobni vgradni material, vezni material, montažne letve, vijaki ,
ozemljitvena žica ,...</t>
    </r>
  </si>
  <si>
    <r>
      <rPr>
        <b/>
        <sz val="10"/>
        <rFont val="Arial"/>
        <family val="2"/>
      </rPr>
      <t>Skupaj:</t>
    </r>
  </si>
  <si>
    <t>Omarica =PMO-RG</t>
  </si>
  <si>
    <r>
      <rPr>
        <sz val="9"/>
        <rFont val="Arial"/>
        <family val="2"/>
      </rPr>
      <t>Dobava in montaža prostostoječe kabelske priključne omarice =PMO-RG, z enim okencem dimenzij 400 x 400 x 1600 (s strehico),tip MIKOMIINOX 316, izdelana po tipizaciji merilnih mest z vgrajeno opremo po spodnji specifikaciji, montirana na betonski podstavek (podstavek zajeta v tej ponudbi)</t>
    </r>
  </si>
  <si>
    <r>
      <rPr>
        <sz val="9"/>
        <rFont val="Arial"/>
        <family val="2"/>
      </rPr>
      <t>Multifunkcionalnidirektni števec delovne energije ME381-D1A52 s
komunikatorjem GSM in tarifnim odklopnikom Z0-341 (25A)</t>
    </r>
  </si>
  <si>
    <r>
      <rPr>
        <sz val="9"/>
        <rFont val="Arial"/>
        <family val="2"/>
      </rPr>
      <t>Varovalčni ločilnik 160N3f- 1kpl z varovalkam i 25A Prenapetostna zaščita PROTEG B-C,3+0,(8/20)-1kpl</t>
    </r>
  </si>
  <si>
    <r>
      <rPr>
        <sz val="9"/>
        <rFont val="Arial"/>
        <family val="2"/>
      </rPr>
      <t>Kovinsko tipkalo za RESET tarifnega odklopnika</t>
    </r>
  </si>
  <si>
    <r>
      <rPr>
        <sz val="9"/>
        <rFont val="Arial"/>
        <family val="2"/>
      </rPr>
      <t>Drobni vgradni material, vezni material, montažne letve, vijaki ,
ozemljitvena žica...</t>
    </r>
  </si>
  <si>
    <r>
      <rPr>
        <sz val="10"/>
        <rFont val="Arial"/>
        <family val="2"/>
      </rPr>
      <t>Prenapetostni odvodnik PROTEC B-C s kontakti za signalizacija delovanja zaščite</t>
    </r>
  </si>
  <si>
    <r>
      <rPr>
        <sz val="10"/>
        <rFont val="Arial"/>
        <family val="2"/>
      </rPr>
      <t>Svetilka z vtičnica za razsvetljavo razdelilnika , Rittal</t>
    </r>
  </si>
  <si>
    <r>
      <rPr>
        <sz val="10"/>
        <rFont val="Arial"/>
        <family val="2"/>
      </rPr>
      <t>Grelec Rittal, 100W</t>
    </r>
  </si>
  <si>
    <r>
      <rPr>
        <sz val="10"/>
        <rFont val="Arial"/>
        <family val="2"/>
      </rPr>
      <t>Motorsko zaščitno stikalo PKZM0-1,6T+NH111-PKZO</t>
    </r>
  </si>
  <si>
    <r>
      <rPr>
        <sz val="10"/>
        <rFont val="Arial"/>
        <family val="2"/>
      </rPr>
      <t>Motorsko zaščitno stikalo PKZM0-16+NHI21-PKZO</t>
    </r>
  </si>
  <si>
    <r>
      <rPr>
        <sz val="10"/>
        <rFont val="Arial"/>
        <family val="2"/>
      </rPr>
      <t>Kombinirani napajalnik-UPS   TRIO-UPS/1AC/5A</t>
    </r>
  </si>
  <si>
    <r>
      <rPr>
        <sz val="10"/>
        <rFont val="Arial"/>
        <family val="2"/>
      </rPr>
      <t>Baterija QUINT-BAT/24VDC/7,2Ah</t>
    </r>
  </si>
  <si>
    <r>
      <rPr>
        <sz val="10"/>
        <rFont val="Arial"/>
        <family val="2"/>
      </rPr>
      <t>Instalacijski odklopnik C2A, 1OkA</t>
    </r>
  </si>
  <si>
    <r>
      <rPr>
        <sz val="10"/>
        <rFont val="Arial"/>
        <family val="2"/>
      </rPr>
      <t>Kombinirano dvopolno difernčno zaščitno stikalo RCBO
16A/30mA</t>
    </r>
  </si>
  <si>
    <r>
      <rPr>
        <sz val="10"/>
        <rFont val="Arial"/>
        <family val="2"/>
      </rPr>
      <t>Kombinirano štiripolno difernčno zaščitno stikalo RCBO 16A'30mA</t>
    </r>
  </si>
  <si>
    <r>
      <rPr>
        <sz val="10"/>
        <rFont val="Arial"/>
        <family val="2"/>
      </rPr>
      <t>kpl</t>
    </r>
  </si>
  <si>
    <r>
      <rPr>
        <sz val="10"/>
        <rFont val="Arial"/>
        <family val="2"/>
      </rPr>
      <t>25 .</t>
    </r>
  </si>
  <si>
    <r>
      <rPr>
        <sz val="10"/>
        <rFont val="Arial"/>
        <family val="2"/>
      </rPr>
      <t>Zaščita črpalke TOM , Sulzer</t>
    </r>
  </si>
  <si>
    <r>
      <rPr>
        <sz val="10"/>
        <rFont val="Arial"/>
        <family val="2"/>
      </rPr>
      <t>Merilnik pretoka Proline Promag 10W, E+H</t>
    </r>
  </si>
  <si>
    <r>
      <rPr>
        <sz val="10"/>
        <rFont val="Arial"/>
        <family val="2"/>
      </rPr>
      <t>Merilnik zveznega nivoja FMX167 , E+H</t>
    </r>
  </si>
  <si>
    <r>
      <rPr>
        <sz val="10"/>
        <rFont val="Arial"/>
        <family val="2"/>
      </rPr>
      <t>Rele Omron G2R-2-SND, 24VDC, podnožje</t>
    </r>
  </si>
  <si>
    <r>
      <rPr>
        <sz val="10"/>
        <rFont val="Arial"/>
        <family val="2"/>
      </rPr>
      <t>Rele MRZ 24VDC , 1x preklopni kontakt, Weidmueller</t>
    </r>
  </si>
  <si>
    <r>
      <rPr>
        <sz val="10"/>
        <rFont val="Arial"/>
        <family val="2"/>
      </rPr>
      <t>43 .</t>
    </r>
  </si>
  <si>
    <r>
      <rPr>
        <sz val="10"/>
        <rFont val="Arial"/>
        <family val="2"/>
      </rPr>
      <t>Sponke in varovalčne sponke, Weidmueller</t>
    </r>
  </si>
  <si>
    <r>
      <rPr>
        <sz val="10"/>
        <rFont val="Arial"/>
        <family val="2"/>
      </rPr>
      <t>Kabel Olflex Classic 11OCY 3x0.75mm2</t>
    </r>
  </si>
  <si>
    <r>
      <rPr>
        <sz val="10"/>
        <rFont val="Arial"/>
        <family val="2"/>
      </rPr>
      <t>Aplikat ivna programska oprema za PLC in prikazovalnik</t>
    </r>
  </si>
  <si>
    <r>
      <t>Ročno-strojni izkop</t>
    </r>
    <r>
      <rPr>
        <sz val="10"/>
        <rFont val="Arial Baltic"/>
        <family val="2"/>
        <charset val="186"/>
      </rPr>
      <t xml:space="preserve"> sond ob obstoječi infrastrukturi,(</t>
    </r>
    <r>
      <rPr>
        <sz val="10"/>
        <rFont val="Arial Baltic"/>
        <charset val="238"/>
      </rPr>
      <t>kanalizacija, vodovod, telefon, elektrika, plin CATV...</t>
    </r>
    <r>
      <rPr>
        <sz val="10"/>
        <rFont val="Arial Baltic"/>
        <family val="2"/>
        <charset val="186"/>
      </rPr>
      <t>) - po vpisu in potrditvi v gradbenem dnevniku s strani nadzornega organa. Obračun po dejansko izvedenih delih. V ceni so zajeta vsa dodatna in zaščitna dela.</t>
    </r>
  </si>
  <si>
    <t>Odstranitev grmovja in dreves z debli premera do 15 cm ter vej na gosto porasli površini - strojno. V ceni je zajet posek grmovja in dreves deb. do 10 cm, oklestenje in razrez debel, nalaganje na kamion, prevoz na STR 15 km, predaja pooblaščenemu prevzemniku, plačilo prevzemne takse ter vsa dodatna in zaščitna dela. Obračun po dejansko izvedenih delih. OCENA</t>
  </si>
  <si>
    <t>Odstranitev dreves z debli premera 15-50 cm na srednje porasli površini - strojno. V ceni je zajet posek dreves, oklestenje in razrez debel, nalaganje na kamion, prevoz na STR 15 km, predaja pooblaščenemu prevzemniku, plačilo prevzemne takse ter vsa dodatna in zaščitna dela. Obračun po dejansko izvedenih delih. OCENA</t>
  </si>
  <si>
    <t>(11,5*0,8)+(10,0*1,2)+(59,0*1,5)</t>
  </si>
  <si>
    <r>
      <t>Široki, strojni izkop zrahljane zemlje-humusa in navadne zemlje</t>
    </r>
    <r>
      <rPr>
        <sz val="10"/>
        <rFont val="Arial CE"/>
        <charset val="238"/>
      </rPr>
      <t xml:space="preserve"> - I.in II. ktg. zem.</t>
    </r>
    <r>
      <rPr>
        <sz val="10"/>
        <rFont val="Arial CE"/>
        <family val="2"/>
        <charset val="238"/>
      </rPr>
      <t>, z odlaganjem na rob kanala ter ponovnim zasipom zaljučnega sloja, razstiranjem, ročnim pobiranjem kamna, planiranjem površine ter zatravitvijo po izvedenih delih. Ocenjena debelina izkopa in je 20 cm. V ceni je zajeta nabava in posejanje travnega semena, vzdrževanje travnih površin do predaje objekta ter vsa dodatna in zaščitna dela.</t>
    </r>
  </si>
  <si>
    <r>
      <t xml:space="preserve">Izkop kanala </t>
    </r>
    <r>
      <rPr>
        <sz val="10"/>
        <rFont val="Arial Baltic"/>
        <charset val="238"/>
      </rPr>
      <t>za položitev kan.cevi, skladno s SIST-EN 1610</t>
    </r>
    <r>
      <rPr>
        <sz val="10"/>
        <rFont val="Arial Baltic"/>
        <family val="2"/>
        <charset val="186"/>
      </rPr>
      <t xml:space="preserve">, </t>
    </r>
    <r>
      <rPr>
        <sz val="10"/>
        <rFont val="Arial Baltic"/>
        <charset val="238"/>
      </rPr>
      <t>v trdi zemlji-III.ktg.zem</t>
    </r>
    <r>
      <rPr>
        <sz val="10"/>
        <rFont val="Arial Baltic"/>
        <family val="2"/>
        <charset val="186"/>
      </rPr>
      <t xml:space="preserve">, skupaj s sprotnim nakladanjem na kamion ali odmetom na stran, </t>
    </r>
    <r>
      <rPr>
        <sz val="10"/>
        <rFont val="Arial Baltic"/>
        <charset val="238"/>
      </rPr>
      <t>varovanjem brežin kanala</t>
    </r>
    <r>
      <rPr>
        <sz val="10"/>
        <rFont val="Arial Baltic"/>
        <family val="2"/>
        <charset val="186"/>
      </rPr>
      <t>, čiščenjem ceste, usmerjanjem prometa ter izdelavo prehodov. Zakoličba in izkop v območju drugih infrastrukturnih naprav se mora izvajati pod nadzorom in navodilih upravljalcev teh naprav. V ceni je zajet izkop po projektiranih vzdolžnih in prečnih profilih, črpanje vode z muljnimi črpalkami ter vas dodatna in zaščitna dela. Obračun na osnovi profilov posnetih pred in po izkopu. Struktura izkopa ocenjena -</t>
    </r>
    <r>
      <rPr>
        <sz val="10"/>
        <rFont val="Arial Baltic"/>
        <charset val="238"/>
      </rPr>
      <t>30% celotnega izkopa.</t>
    </r>
    <r>
      <rPr>
        <sz val="10"/>
        <rFont val="Arial Baltic"/>
        <family val="2"/>
        <charset val="186"/>
      </rPr>
      <t xml:space="preserve">                          Skupna količina izkopa (m3)</t>
    </r>
  </si>
  <si>
    <r>
      <t xml:space="preserve">Izkop kanala </t>
    </r>
    <r>
      <rPr>
        <sz val="10"/>
        <rFont val="Arial Baltic"/>
        <charset val="238"/>
      </rPr>
      <t>za položitev kan.cevi, skladno s SIST-EN 1610,</t>
    </r>
    <r>
      <rPr>
        <sz val="10"/>
        <rFont val="Arial Baltic"/>
        <family val="2"/>
        <charset val="186"/>
      </rPr>
      <t xml:space="preserve"> v </t>
    </r>
    <r>
      <rPr>
        <sz val="10"/>
        <rFont val="Arial Baltic"/>
        <charset val="238"/>
      </rPr>
      <t>preperelih stenah, razpadlem škriljavcu - IV.ktg.zem</t>
    </r>
    <r>
      <rPr>
        <sz val="10"/>
        <rFont val="Arial Baltic"/>
        <family val="2"/>
        <charset val="186"/>
      </rPr>
      <t xml:space="preserve">, skupaj s sprotnim nakladanjem na kamion ali odmetom na stran, </t>
    </r>
    <r>
      <rPr>
        <sz val="10"/>
        <rFont val="Arial Baltic"/>
        <charset val="238"/>
      </rPr>
      <t xml:space="preserve">varovanjem brežin kanala, </t>
    </r>
    <r>
      <rPr>
        <sz val="10"/>
        <rFont val="Arial Baltic"/>
        <family val="2"/>
        <charset val="186"/>
      </rPr>
      <t xml:space="preserve">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t>
    </r>
    <r>
      <rPr>
        <sz val="10"/>
        <rFont val="Arial Baltic"/>
        <charset val="238"/>
      </rPr>
      <t>-50% celotnega izkopa.</t>
    </r>
    <r>
      <rPr>
        <sz val="10"/>
        <rFont val="Arial Baltic"/>
        <family val="2"/>
        <charset val="186"/>
      </rPr>
      <t xml:space="preserve">                          Skupna količina izkopa (m3)</t>
    </r>
  </si>
  <si>
    <r>
      <t xml:space="preserve">Izkop kanala </t>
    </r>
    <r>
      <rPr>
        <sz val="10"/>
        <rFont val="Arial Baltic"/>
        <charset val="238"/>
      </rPr>
      <t>za položitev kan.cevi, skladno s SIST-EN 1610,</t>
    </r>
    <r>
      <rPr>
        <sz val="10"/>
        <rFont val="Arial Baltic"/>
        <family val="2"/>
        <charset val="186"/>
      </rPr>
      <t xml:space="preserve"> v mehki</t>
    </r>
    <r>
      <rPr>
        <sz val="10"/>
        <rFont val="Arial Baltic"/>
        <charset val="238"/>
      </rPr>
      <t xml:space="preserve"> steni, laporju in apnencu - V.ktg.zem</t>
    </r>
    <r>
      <rPr>
        <sz val="10"/>
        <rFont val="Arial Baltic"/>
        <family val="2"/>
        <charset val="186"/>
      </rPr>
      <t xml:space="preserve">, skupaj s sprotnim nakladanjem na kamion ali odmetom na stran, </t>
    </r>
    <r>
      <rPr>
        <sz val="10"/>
        <rFont val="Arial Baltic"/>
        <charset val="238"/>
      </rPr>
      <t xml:space="preserve">varovanjem brežin kanala, </t>
    </r>
    <r>
      <rPr>
        <sz val="10"/>
        <rFont val="Arial Baltic"/>
        <family val="2"/>
        <charset val="186"/>
      </rPr>
      <t xml:space="preserve">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t>
    </r>
    <r>
      <rPr>
        <sz val="10"/>
        <rFont val="Arial Baltic"/>
        <charset val="238"/>
      </rPr>
      <t>- 20% celotnega izkopa.</t>
    </r>
    <r>
      <rPr>
        <sz val="10"/>
        <rFont val="Arial Baltic"/>
        <family val="2"/>
        <charset val="186"/>
      </rPr>
      <t xml:space="preserve">                          Skupna količina izkopa (m3)</t>
    </r>
  </si>
  <si>
    <r>
      <t xml:space="preserve">Izvedba križanja kanalizacije s </t>
    </r>
    <r>
      <rPr>
        <sz val="10"/>
        <rFont val="Arial Baltic"/>
        <charset val="238"/>
      </rPr>
      <t xml:space="preserve">tel. kablom, el. kablom ali kabelsko televizijo </t>
    </r>
    <r>
      <rPr>
        <sz val="10"/>
        <rFont val="Arial Baltic"/>
        <family val="2"/>
        <charset val="186"/>
      </rPr>
      <t xml:space="preserve">z obsipom inštalacije s peskom in postavitvijo signalnega traku v min.dolžini 3,00 m. V ceni je zajeta zakoličba, izvajanje del po navodilih upravljavca, dodatni ročno-strojni izkopi, opaži, vsa potrebna opiranja, razpiranja in in obešanja kablov in kabelske kanalizacije, čiščenja ter vsa ostala dodatna in zaščitna dela. Obračun po dejanskih količinah. </t>
    </r>
  </si>
  <si>
    <t>Dobava na mesto vgradnje in izdelava peščene posteljice min.debeline 10 cm in obsipa cevi s peskom granulacije 4-8 mm, min.debeline sloja 30 cm iznad temena cevi. Prerez 0,50 m3/m1. V ceni je zajeto planiranje posteljice po projektirani niveleti, podbijanje in zasip cevi skladno s projektiranimi prerezi in navodili proizvajalca cevi ter vsa dodatna in zaščitna dela.</t>
  </si>
  <si>
    <r>
      <t>Dobava na mesto vgradnje in izdelava betonske posteljice iz cementnega betona</t>
    </r>
    <r>
      <rPr>
        <sz val="10"/>
        <rFont val="Arial Baltic"/>
        <charset val="238"/>
      </rPr>
      <t xml:space="preserve"> C20/25;XC1,</t>
    </r>
    <r>
      <rPr>
        <sz val="10"/>
        <rFont val="Arial Baltic"/>
        <family val="2"/>
        <charset val="186"/>
      </rPr>
      <t xml:space="preserve"> min. debeline 10 cm. </t>
    </r>
    <r>
      <rPr>
        <sz val="10"/>
        <rFont val="Arial Baltic"/>
        <charset val="238"/>
      </rPr>
      <t xml:space="preserve">Prerez 0,10 m3/m1. </t>
    </r>
    <r>
      <rPr>
        <sz val="10"/>
        <rFont val="Arial Baltic"/>
        <family val="2"/>
        <charset val="186"/>
      </rPr>
      <t>V ceni je zajeto oblikovanje ležišča cevi po projektirani niveleti in karakterističnih prerezih ter vsa dodatna in zaščitna dela.</t>
    </r>
  </si>
  <si>
    <r>
      <t>Dobava na mesto vgradnje in obbetoniranje cevovoda s cement. betonom</t>
    </r>
    <r>
      <rPr>
        <sz val="10"/>
        <rFont val="Arial Baltic"/>
        <charset val="238"/>
      </rPr>
      <t xml:space="preserve"> C25/30;XC2,</t>
    </r>
    <r>
      <rPr>
        <sz val="10"/>
        <rFont val="Arial Baltic"/>
        <family val="2"/>
        <charset val="186"/>
      </rPr>
      <t xml:space="preserve"> min. debeline 10 cm iznad oboda cevi. </t>
    </r>
    <r>
      <rPr>
        <sz val="10"/>
        <rFont val="Arial Baltic"/>
        <charset val="238"/>
      </rPr>
      <t xml:space="preserve">Prerez 0,25 m3/m1. </t>
    </r>
    <r>
      <rPr>
        <sz val="10"/>
        <rFont val="Arial Baltic"/>
        <family val="2"/>
        <charset val="186"/>
      </rPr>
      <t>V ceni je zajeto natančno podbetoniranje in obbetoniranje cevi po projektiranih karakterističnih prerezih ter vsa dodatna in zaščitna dela.</t>
    </r>
  </si>
  <si>
    <r>
      <t>Dobava na mesto vgradnje in izvedba sidranja cevovoda kanaliz. na strmini s postavitvijo armature, izdelavo bet.posteljice min.deb.10 cm, obbetoniranjem s cementnim betonom</t>
    </r>
    <r>
      <rPr>
        <sz val="10"/>
        <rFont val="Arial Baltic"/>
        <charset val="238"/>
      </rPr>
      <t xml:space="preserve"> C25/30;XC2,</t>
    </r>
    <r>
      <rPr>
        <sz val="10"/>
        <rFont val="Arial Baltic"/>
        <family val="2"/>
        <charset val="186"/>
      </rPr>
      <t xml:space="preserve"> min. debeline 10 cm. </t>
    </r>
    <r>
      <rPr>
        <sz val="10"/>
        <rFont val="Arial Baltic"/>
        <charset val="238"/>
      </rPr>
      <t>Presek 0,35 m3/m1.</t>
    </r>
    <r>
      <rPr>
        <sz val="10"/>
        <rFont val="Arial Baltic"/>
        <family val="2"/>
        <charset val="186"/>
      </rPr>
      <t xml:space="preserve"> V ceni je zajet izkop temelja sidra v mat.III. do IV.ktg., 0,65 m3/kos, z odvozom odvečnega materiala v deponijo, betoniranje sider in obbetoniranje cevi po projektiranih karakterističnih prerezih ter vsa dodatna in zaščitna dela. sidra so izdelana na medsebojni osni razdalji 5,0 m. PO DETAJLU</t>
    </r>
  </si>
  <si>
    <r>
      <t xml:space="preserve">Dobava materiala na mesto vgradnje in podbetoniranje </t>
    </r>
    <r>
      <rPr>
        <sz val="10"/>
        <rFont val="Arial Baltic"/>
        <charset val="238"/>
      </rPr>
      <t>temeljev obstoječih hiš in AB zidov s</t>
    </r>
    <r>
      <rPr>
        <sz val="10"/>
        <rFont val="Arial Baltic"/>
        <family val="2"/>
        <charset val="186"/>
      </rPr>
      <t xml:space="preserve"> cementnim betonom </t>
    </r>
    <r>
      <rPr>
        <sz val="10"/>
        <rFont val="Arial Baltic"/>
        <charset val="238"/>
      </rPr>
      <t>C25/30;XC2.</t>
    </r>
    <r>
      <rPr>
        <sz val="10"/>
        <rFont val="Arial Baltic"/>
        <family val="2"/>
        <charset val="186"/>
      </rPr>
      <t xml:space="preserve"> </t>
    </r>
    <r>
      <rPr>
        <sz val="10"/>
        <rFont val="Arial Baltic"/>
        <charset val="238"/>
      </rPr>
      <t>Presek 0,50 m3/m1</t>
    </r>
    <r>
      <rPr>
        <sz val="10"/>
        <rFont val="Arial Baltic"/>
        <family val="2"/>
        <charset val="186"/>
      </rPr>
      <t>. V ceni je zajet ročni izkop in planiranje dna v mat. III.-IV.ktg, montaža in demontaža enostranskega opaža, vgrajevanje betona s tlačenjem pod in v temelj zidu, ročni zasip s planiranjem ter vsa dodatna in zaščitna dela. Obračun po dejansko izvršenih delih.  OCENA</t>
    </r>
  </si>
  <si>
    <r>
      <t xml:space="preserve">Zasip kanala z izbranim in prebranim izkopnim materialom s kamni do velikosti največ 100 mm-po pregledu in odobritvi nadzornega organa-vgrajevanim v plasteh po 30 cm, s sprotno komprimacijo do zahtevane zbitosti. V ceni je zajeto odbiranje in začasno deponiranje odbranega materiala, </t>
    </r>
    <r>
      <rPr>
        <sz val="10"/>
        <rFont val="Arial Baltic"/>
        <charset val="238"/>
      </rPr>
      <t>nalaganje in prevoz</t>
    </r>
    <r>
      <rPr>
        <sz val="10"/>
        <rFont val="Arial Baltic"/>
        <family val="2"/>
        <charset val="186"/>
      </rPr>
      <t xml:space="preserve"> na mesto vgradnje ter vsa dodatna in zaščitna dela.</t>
    </r>
  </si>
  <si>
    <t>Odvoz odvečnega izkopanega materiala na srednjo transportno razdaljo do 15 km in predaja pooblaščenemu prevzemniku. Kubatura v raščenem stanju. V ceni so upoštevani vsi stroški deponiranja materiala ter vsa dodatna in zaščitna dela.</t>
  </si>
  <si>
    <t>Dobava na mesto vgradnje in polaganje kanalizacijskih cevi iz armiranega poliestra(GRP) DN 200 mm, SN10.000 N/m2, izdelane po SIST EN 14364, dolžine 6 m z montirano spojko iz poliestra z EPDM tesnilom, vključno s priključitvijo na jaške. Notranji zaščitni sloj cevi iz čistega poliestra mora imeti min.deb. 1,0 mm.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</si>
  <si>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na mesto vgradnje in polaganje kanalizacijskih cevi- tlačni vod - PE 80, PN 8 bar, SDR 11,0, d 40 x 3,7 mm, SIST ISO 4427, SIST EN 12201, notranjega premera 90 mm, vključno s spojnimi elementi ter priključitvijo na jaške. Cevi morajo biti položene skladno s EN1610. V ceni je zajeta izvedba tlačnega preizkusa vodotesnosti kanalizacije in jaškov, vsa dodatna in zaščitna dela ter čiščenje in izpiranje kanala.</t>
  </si>
  <si>
    <r>
      <t xml:space="preserve">Dobava in izdelava jaška iz </t>
    </r>
    <r>
      <rPr>
        <sz val="10"/>
        <rFont val="Arial CE"/>
        <charset val="238"/>
      </rPr>
      <t>armiranega poliestra-</t>
    </r>
    <r>
      <rPr>
        <sz val="10"/>
        <rFont val="Arial CE"/>
        <family val="2"/>
        <charset val="238"/>
      </rPr>
      <t xml:space="preserve">GRP cevi </t>
    </r>
    <r>
      <rPr>
        <sz val="10"/>
        <rFont val="Arial CE"/>
        <charset val="238"/>
      </rPr>
      <t>DN 800 mm</t>
    </r>
    <r>
      <rPr>
        <sz val="10"/>
        <rFont val="Arial CE"/>
        <family val="2"/>
        <charset val="238"/>
      </rPr>
      <t>, SN 10000, EN 13598 - ali enakovrednih cevi -, kompletno z izdelavo ležišča jaška min. deb.</t>
    </r>
    <r>
      <rPr>
        <sz val="10"/>
        <rFont val="Arial CE"/>
        <charset val="238"/>
      </rPr>
      <t>20 cm</t>
    </r>
    <r>
      <rPr>
        <sz val="10"/>
        <rFont val="Arial CE"/>
        <family val="2"/>
        <charset val="238"/>
      </rPr>
      <t xml:space="preserve">, z betonom </t>
    </r>
    <r>
      <rPr>
        <sz val="10"/>
        <rFont val="Arial CE"/>
        <charset val="238"/>
      </rPr>
      <t>C20/25;XC1</t>
    </r>
    <r>
      <rPr>
        <sz val="10"/>
        <rFont val="Arial CE"/>
        <family val="2"/>
        <charset val="238"/>
      </rPr>
      <t xml:space="preserve">, namestitvijo in obsipom GRP cevi s peščenim materialom ter zasipom z izbranim izkopnim materialom, oz. tamponom s sprotno komprimacijo v slojih po 30 cm, izdelavo mulde iz poliestra v dnu jaška, izdelavo AB  venca z ležiščem za pokrov ter zatesnitvijo z dvokoponentnim kitom. </t>
    </r>
    <r>
      <rPr>
        <sz val="10"/>
        <rFont val="Arial CE"/>
        <charset val="238"/>
      </rPr>
      <t xml:space="preserve">Stikovanje s cevovodom se izdela s cevnimi priključki primernega premera v min. dolžini 50 cm. </t>
    </r>
    <r>
      <rPr>
        <sz val="10"/>
        <rFont val="Arial CE"/>
        <family val="2"/>
        <charset val="238"/>
      </rPr>
      <t>V ceni so</t>
    </r>
    <r>
      <rPr>
        <sz val="10"/>
        <rFont val="Arial CE"/>
        <charset val="238"/>
      </rPr>
      <t xml:space="preserve"> zajeta v</t>
    </r>
    <r>
      <rPr>
        <sz val="10"/>
        <rFont val="Arial CE"/>
        <family val="2"/>
        <charset val="238"/>
      </rPr>
      <t xml:space="preserve">sa dodatna in zaščitna dela. Globina jaška </t>
    </r>
    <r>
      <rPr>
        <sz val="10"/>
        <rFont val="Arial CE"/>
        <charset val="238"/>
      </rPr>
      <t>do 2.0 m.</t>
    </r>
  </si>
  <si>
    <r>
      <t xml:space="preserve">Dobava in izdelava jaška iz </t>
    </r>
    <r>
      <rPr>
        <sz val="10"/>
        <rFont val="Arial CE"/>
        <charset val="238"/>
      </rPr>
      <t>armiranega poliestra-</t>
    </r>
    <r>
      <rPr>
        <sz val="10"/>
        <rFont val="Arial CE"/>
        <family val="2"/>
        <charset val="238"/>
      </rPr>
      <t xml:space="preserve">GRP cevi </t>
    </r>
    <r>
      <rPr>
        <sz val="10"/>
        <rFont val="Arial CE"/>
        <charset val="238"/>
      </rPr>
      <t>DN 1000 mm</t>
    </r>
    <r>
      <rPr>
        <sz val="10"/>
        <rFont val="Arial CE"/>
        <family val="2"/>
        <charset val="238"/>
      </rPr>
      <t>, SN 10000, EN 13598 - ali enakovrednih cevi -, kompletno z izdelavo ležišča jaška min. deb.</t>
    </r>
    <r>
      <rPr>
        <sz val="10"/>
        <rFont val="Arial CE"/>
        <charset val="238"/>
      </rPr>
      <t>20 cm</t>
    </r>
    <r>
      <rPr>
        <sz val="10"/>
        <rFont val="Arial CE"/>
        <family val="2"/>
        <charset val="238"/>
      </rPr>
      <t xml:space="preserve">, z betonom </t>
    </r>
    <r>
      <rPr>
        <sz val="10"/>
        <rFont val="Arial CE"/>
        <charset val="238"/>
      </rPr>
      <t>C20/25;XC1,</t>
    </r>
    <r>
      <rPr>
        <sz val="10"/>
        <rFont val="Arial CE"/>
        <family val="2"/>
        <charset val="238"/>
      </rPr>
      <t xml:space="preserve">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t>
    </r>
    <r>
      <rPr>
        <sz val="10"/>
        <rFont val="Arial CE"/>
        <charset val="238"/>
      </rPr>
      <t>do 2,50 m.</t>
    </r>
  </si>
  <si>
    <r>
      <t xml:space="preserve">Dobava in izdelava jaška iz </t>
    </r>
    <r>
      <rPr>
        <sz val="10"/>
        <rFont val="Arial CE"/>
        <charset val="238"/>
      </rPr>
      <t>armiranega poliestra-</t>
    </r>
    <r>
      <rPr>
        <sz val="10"/>
        <rFont val="Arial CE"/>
        <family val="2"/>
        <charset val="238"/>
      </rPr>
      <t xml:space="preserve">GRP cevi </t>
    </r>
    <r>
      <rPr>
        <sz val="10"/>
        <rFont val="Arial CE"/>
        <charset val="238"/>
      </rPr>
      <t>DN 1200 mm</t>
    </r>
    <r>
      <rPr>
        <sz val="10"/>
        <rFont val="Arial CE"/>
        <family val="2"/>
        <charset val="238"/>
      </rPr>
      <t>, SN 10000, EN 13598 - ali enakovrednih cevi -, kompletno z izdelavo ležišča jaška min. deb.</t>
    </r>
    <r>
      <rPr>
        <sz val="10"/>
        <rFont val="Arial CE"/>
        <charset val="238"/>
      </rPr>
      <t>20 cm</t>
    </r>
    <r>
      <rPr>
        <sz val="10"/>
        <rFont val="Arial CE"/>
        <family val="2"/>
        <charset val="238"/>
      </rPr>
      <t xml:space="preserve">, z betonom </t>
    </r>
    <r>
      <rPr>
        <sz val="10"/>
        <rFont val="Arial CE"/>
        <charset val="238"/>
      </rPr>
      <t>C20/25;XC1,</t>
    </r>
    <r>
      <rPr>
        <sz val="10"/>
        <rFont val="Arial CE"/>
        <family val="2"/>
        <charset val="238"/>
      </rPr>
      <t xml:space="preserve">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t>
    </r>
    <r>
      <rPr>
        <sz val="10"/>
        <rFont val="Arial CE"/>
        <charset val="238"/>
      </rPr>
      <t>do 4,00 m.</t>
    </r>
  </si>
  <si>
    <r>
      <t xml:space="preserve">Dobava na mesto vgradnje in montaža kanalskega pokrova z odprtinami in okvirja z zaklepanjem in protihrupnim vložkom LTŽ premera 600 mm, </t>
    </r>
    <r>
      <rPr>
        <sz val="10"/>
        <rFont val="Arial Baltic"/>
        <charset val="238"/>
      </rPr>
      <t>D400</t>
    </r>
    <r>
      <rPr>
        <sz val="10"/>
        <rFont val="Arial Baltic"/>
        <family val="2"/>
        <charset val="186"/>
      </rPr>
      <t>, SIST-EN 124-1996. Skupaj z vsemi dodatnimi in zaščitnimi deli .</t>
    </r>
  </si>
  <si>
    <t>Dobava na mesto vgradnje in montaža kanalskega pokrova z odprtinami in okvirja z zaklepanjem in protihrupnim vložkom LTŽ premera 600 mm, C250, SIST-EN 124-1996. Skupaj z vsemi dodatnimi in zaščitnimi deli .</t>
  </si>
  <si>
    <t>Dobava na mesto vgradnje in polaganje kanalizacijskih cevi iz armiranega poliestra(GRP) DN 150 mm, SN10.000 N/m2, izdelane po SIST EN 14364, dolžine 6 m z montirano spojko iz poliestra z EPDM tesnilom, vključno s priključitvijo na jaške. Notranji zaščitni sloj cevi iz čistega poliestra mora imeti min.deb. 1,0 mm.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</si>
  <si>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r>
      <t xml:space="preserve">Dobava in izdelava jaška iz </t>
    </r>
    <r>
      <rPr>
        <sz val="10"/>
        <rFont val="Arial CE"/>
        <charset val="238"/>
      </rPr>
      <t>armiranega poliestra-</t>
    </r>
    <r>
      <rPr>
        <sz val="10"/>
        <rFont val="Arial CE"/>
        <family val="2"/>
        <charset val="238"/>
      </rPr>
      <t xml:space="preserve">GRP cevi </t>
    </r>
    <r>
      <rPr>
        <sz val="10"/>
        <rFont val="Arial CE"/>
        <charset val="238"/>
      </rPr>
      <t>DN 800 mm</t>
    </r>
    <r>
      <rPr>
        <sz val="10"/>
        <rFont val="Arial CE"/>
        <family val="2"/>
        <charset val="238"/>
      </rPr>
      <t>, SN 10000, EN 13598 - ali enakovrednih cevi -, kompletno z izdelavo ležišča jaška min. deb.</t>
    </r>
    <r>
      <rPr>
        <sz val="10"/>
        <rFont val="Arial CE"/>
        <charset val="238"/>
      </rPr>
      <t>20 cm</t>
    </r>
    <r>
      <rPr>
        <sz val="10"/>
        <rFont val="Arial CE"/>
        <family val="2"/>
        <charset val="238"/>
      </rPr>
      <t xml:space="preserve">, z betonom </t>
    </r>
    <r>
      <rPr>
        <sz val="10"/>
        <rFont val="Arial CE"/>
        <charset val="238"/>
      </rPr>
      <t>C20/25;XC1</t>
    </r>
    <r>
      <rPr>
        <sz val="10"/>
        <rFont val="Arial CE"/>
        <family val="2"/>
        <charset val="238"/>
      </rPr>
      <t xml:space="preserve">,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t>
    </r>
    <r>
      <rPr>
        <sz val="10"/>
        <rFont val="Arial CE"/>
        <charset val="238"/>
      </rPr>
      <t>do 2.50 m.</t>
    </r>
  </si>
  <si>
    <t>Dobava na mesto vgradnje in montaža kanalskega pokrova z odprtinami in okvirja z zaklepanjem in protihrupnim vložkom LTŽ premera 600 mm, B125, SIST-EN 124-1996. Skupaj z vsemi dodatnimi in zaščitnimi deli .</t>
  </si>
  <si>
    <t xml:space="preserve">Zasip kanala, pod prometnimi površinami, z enakomerno zrnatim drobljencem 0 - 32 mm v plasteh po 30 cm pri optimalni vlagi, s sprotno komprimacijo do zahtevane zbitosti. Zaključna plast mora dosegati-EV2 =100 Mpa. V ceni je zajet dovoz materiala na mesto vgradnje vsa dodatna in zaščitna dela in meritve nosilnosti z merilno krožno ploščo. </t>
  </si>
  <si>
    <r>
      <t xml:space="preserve">Dobava materiala na mesto vgradnje in obnova porušenih betonskih in AB zidov. V ceni je zajeta strojno-ročna priprava za temelj zidu v mat.III.do IV.ktg, zastavljanje zidov, montaža in demontaža dvostranskega opaža, postavitev armature, betoniranje z </t>
    </r>
    <r>
      <rPr>
        <sz val="10"/>
        <rFont val="Arial CE"/>
        <charset val="238"/>
      </rPr>
      <t>betonom C25/30;XC2,</t>
    </r>
    <r>
      <rPr>
        <sz val="10"/>
        <rFont val="Arial CE"/>
        <family val="2"/>
        <charset val="238"/>
      </rPr>
      <t xml:space="preserve"> ter vsa dodatna in zaščitna dela. Zid svetle višine do 2,0 m, debeline 25 cm, s temeljem širine 1,40m, višine 60 cm. Obračun po dejansko izvedenih delih.</t>
    </r>
  </si>
  <si>
    <t>Dobava na mesto vgradnje in strojna izdelava obrabne plasti iz bitumenskega betona AC 8 surf, B 50/70 A3 v povprečni debelini 40 mm. V ceni je zajeta izdelava v projektiranih padcih in naklonih ter vsa dodatna in zaščitna dela.</t>
  </si>
  <si>
    <t>174,70+28</t>
  </si>
  <si>
    <t>81,58+9,00</t>
  </si>
  <si>
    <t>49,29+4,00</t>
  </si>
  <si>
    <t>326,43+18,00</t>
  </si>
  <si>
    <t>10+7</t>
  </si>
  <si>
    <t>5+3</t>
  </si>
  <si>
    <t>4+2</t>
  </si>
  <si>
    <t>16+7</t>
  </si>
  <si>
    <t>Odstranitev dreves z debli premera 15-50 cm ter vej na srednje porasli površini - strojno. V ceni je zajet in dreves deb. nad 10 cm, oklestenje in razrez debel, nalaganje na kamion, prevoz na STR 15 km, predaja pooblaščenemu prevzemniku, plačilo prevzemne takse ter vsa dodatna in zaščitna dela. Obračun po dejansko izvedenih delih. OCENA</t>
  </si>
  <si>
    <r>
      <t xml:space="preserve">Izkop kanala </t>
    </r>
    <r>
      <rPr>
        <sz val="10"/>
        <rFont val="Arial Baltic"/>
        <charset val="238"/>
      </rPr>
      <t>za položitev kan.cevi, skladno s SIST-EN 1610</t>
    </r>
    <r>
      <rPr>
        <sz val="10"/>
        <rFont val="Arial Baltic"/>
        <family val="2"/>
        <charset val="186"/>
      </rPr>
      <t xml:space="preserve">, </t>
    </r>
    <r>
      <rPr>
        <sz val="10"/>
        <rFont val="Arial Baltic"/>
        <charset val="238"/>
      </rPr>
      <t>v trdi zemlji-III.ktg.zem</t>
    </r>
    <r>
      <rPr>
        <sz val="10"/>
        <rFont val="Arial Baltic"/>
        <family val="2"/>
        <charset val="186"/>
      </rPr>
      <t>, skupaj s sprotnim nakladanjem na kamion ali odmetom na stran, varovanjem brežin kanala, čiščenjem ceste, usmerjanjem prometa ter izdelavo prehodov. Zakoličba in izkop v območju drugih infrastrukturnih naprav se mora izvajati pod nadzorom in navodilih upravljalcev teh naprav. V ceni je zajet izkop po projektiranih vzdolžnih in prečnih profilih, črpanje vode z muljnimi črpalkami ter vas dodatna in zaščitna dela. Obračun na osnovi profilov posnetih pred in po izkopu. Struktura izkopa ocenjena -</t>
    </r>
    <r>
      <rPr>
        <sz val="10"/>
        <rFont val="Arial Baltic"/>
        <charset val="238"/>
      </rPr>
      <t>30% celotnega izkopa.</t>
    </r>
    <r>
      <rPr>
        <sz val="10"/>
        <rFont val="Arial Baltic"/>
        <family val="2"/>
        <charset val="186"/>
      </rPr>
      <t xml:space="preserve">                          Skupna količina izkopa (m3)</t>
    </r>
  </si>
  <si>
    <r>
      <t xml:space="preserve">Izkop kanala </t>
    </r>
    <r>
      <rPr>
        <sz val="10"/>
        <rFont val="Arial Baltic"/>
        <charset val="238"/>
      </rPr>
      <t>za položitev kan.cevi, skladno s SIST-EN 1610,</t>
    </r>
    <r>
      <rPr>
        <sz val="10"/>
        <rFont val="Arial Baltic"/>
        <family val="2"/>
        <charset val="186"/>
      </rPr>
      <t xml:space="preserve"> v </t>
    </r>
    <r>
      <rPr>
        <sz val="10"/>
        <rFont val="Arial Baltic"/>
        <charset val="238"/>
      </rPr>
      <t>preperelih stenah, razpadlem škriljavcu - IV.ktg.zem</t>
    </r>
    <r>
      <rPr>
        <sz val="10"/>
        <rFont val="Arial Baltic"/>
        <family val="2"/>
        <charset val="186"/>
      </rPr>
      <t xml:space="preserve">, skupaj s sprotnim nakladanjem na kamion ali odmetom na stran,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t>
    </r>
    <r>
      <rPr>
        <sz val="10"/>
        <rFont val="Arial Baltic"/>
        <charset val="238"/>
      </rPr>
      <t>-50% celotnega izkopa.</t>
    </r>
    <r>
      <rPr>
        <sz val="10"/>
        <rFont val="Arial Baltic"/>
        <family val="2"/>
        <charset val="186"/>
      </rPr>
      <t xml:space="preserve">                          Skupna količina izkopa (m3)</t>
    </r>
  </si>
  <si>
    <r>
      <t xml:space="preserve">Izkop kanala </t>
    </r>
    <r>
      <rPr>
        <sz val="10"/>
        <rFont val="Arial Baltic"/>
        <charset val="238"/>
      </rPr>
      <t>za položitev kan.cevi, skladno s SIST-EN 1610,</t>
    </r>
    <r>
      <rPr>
        <sz val="10"/>
        <rFont val="Arial Baltic"/>
        <family val="2"/>
        <charset val="186"/>
      </rPr>
      <t xml:space="preserve"> v mehki</t>
    </r>
    <r>
      <rPr>
        <sz val="10"/>
        <rFont val="Arial Baltic"/>
        <charset val="238"/>
      </rPr>
      <t xml:space="preserve"> steni, laporju in apnencu - V.ktg.zem</t>
    </r>
    <r>
      <rPr>
        <sz val="10"/>
        <rFont val="Arial Baltic"/>
        <family val="2"/>
        <charset val="186"/>
      </rPr>
      <t xml:space="preserve">, skupaj s sprotnim nakladanjem na kamion ali odmetom na stran,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t>
    </r>
    <r>
      <rPr>
        <sz val="10"/>
        <rFont val="Arial Baltic"/>
        <charset val="238"/>
      </rPr>
      <t>- 20% celotnega izkopa.</t>
    </r>
    <r>
      <rPr>
        <sz val="10"/>
        <rFont val="Arial Baltic"/>
        <family val="2"/>
        <charset val="186"/>
      </rPr>
      <t xml:space="preserve">                          Skupna količina izkopa (m3)</t>
    </r>
  </si>
  <si>
    <r>
      <t xml:space="preserve">Izkop kanala </t>
    </r>
    <r>
      <rPr>
        <sz val="10"/>
        <rFont val="Arial Baltic"/>
        <charset val="238"/>
      </rPr>
      <t>za položitev kan.cevi PESKOLOVI, skladno s SIST-EN 1610,</t>
    </r>
    <r>
      <rPr>
        <sz val="10"/>
        <rFont val="Arial Baltic"/>
        <family val="2"/>
        <charset val="186"/>
      </rPr>
      <t xml:space="preserve"> </t>
    </r>
    <r>
      <rPr>
        <sz val="10"/>
        <rFont val="Arial Baltic"/>
        <charset val="238"/>
      </rPr>
      <t>v preperelih stenah, razpadlem škriljavcu - IV.ktg.zem</t>
    </r>
    <r>
      <rPr>
        <sz val="10"/>
        <rFont val="Arial Baltic"/>
        <family val="2"/>
        <charset val="186"/>
      </rPr>
      <t>, skupaj s sprotnim nakladanjem na kamion ali odmetom na stran,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Skupna količina izkopa (m3)</t>
    </r>
  </si>
  <si>
    <t>Dobava na mesto vgradnje in izdelava peščene posteljice min.debeline 10 cm in obsipa cevi s peskom granulacije 4-8 mm, min.debeline sloja 30 cm iznad temena cevi. Presek 0,57-1,58 m3/m1. V ceni je zajeto planiranje posteljice po projektirani niveleti, podbijanje in zasip cevi skladno s projektiranimi prerezi in navodili proizvajalca cevi ter vsa dodatna in zaščitna dela.</t>
  </si>
  <si>
    <r>
      <t>Dobava na mesto vgradnje in izdelava betonske posteljice iz cementnega betona</t>
    </r>
    <r>
      <rPr>
        <sz val="10"/>
        <rFont val="Arial Baltic"/>
        <charset val="238"/>
      </rPr>
      <t xml:space="preserve"> C20/25;XC1,</t>
    </r>
    <r>
      <rPr>
        <sz val="10"/>
        <rFont val="Arial Baltic"/>
        <family val="2"/>
        <charset val="186"/>
      </rPr>
      <t xml:space="preserve"> min. debeline 10 cm. Presek </t>
    </r>
    <r>
      <rPr>
        <sz val="10"/>
        <rFont val="Arial Baltic"/>
        <charset val="238"/>
      </rPr>
      <t>0,09-0,23</t>
    </r>
    <r>
      <rPr>
        <sz val="10"/>
        <rFont val="Arial Baltic"/>
        <family val="2"/>
        <charset val="186"/>
      </rPr>
      <t xml:space="preserve"> m3/m1. V ceni je zajeto oblikovanje ležišča cevi po projektirani niveleti in karakterističnih prerezih ter vsa dodatna in zaščitna dela.</t>
    </r>
  </si>
  <si>
    <t>84,0*0,10+9,0*0,10</t>
  </si>
  <si>
    <t>25,59*0,10+4,0*0,10</t>
  </si>
  <si>
    <t>143,01*0,12+18,0*0,10</t>
  </si>
  <si>
    <r>
      <t>Dobava na mesto vgradnje in obbetoniranje cevovoda s cement. betonom</t>
    </r>
    <r>
      <rPr>
        <sz val="10"/>
        <rFont val="Arial Baltic"/>
        <charset val="238"/>
      </rPr>
      <t xml:space="preserve"> C25/30;XC2,</t>
    </r>
    <r>
      <rPr>
        <sz val="10"/>
        <rFont val="Arial Baltic"/>
        <family val="2"/>
        <charset val="186"/>
      </rPr>
      <t xml:space="preserve"> min. debeline 10 cm. Presek </t>
    </r>
    <r>
      <rPr>
        <sz val="10"/>
        <rFont val="Arial Baltic"/>
        <charset val="238"/>
      </rPr>
      <t>0,23</t>
    </r>
    <r>
      <rPr>
        <sz val="10"/>
        <rFont val="Arial Baltic"/>
        <family val="2"/>
        <charset val="186"/>
      </rPr>
      <t xml:space="preserve"> m3/m1. V ceni je zajeto natančno podbetoniranje in obbetoniranje cevi po projektiranih karakterističnih prerezih ter vsa dodatna in zaščitna dela.</t>
    </r>
  </si>
  <si>
    <t>84,00*0,28+9,0*0,16</t>
  </si>
  <si>
    <t>25,59*0,28+4,0*0,16</t>
  </si>
  <si>
    <t>143,01*0,42+18,0*0,16</t>
  </si>
  <si>
    <t>Dobava na mesto vgradnje in polaganje kanalizacijskih cevi iz armiranega poliestra(GRP) DN 250 mm, SN10.000 N/m2, izdelane po SIST EN 14364, dolžine 6 m z montirano spojko iz poliestra z EPDM tesnilom, vključno s priključitvijo na jaške. Notranji zaščitni sloj cevi iz čistega poliestra mora imeti min.deb. 1,0 mm.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</si>
  <si>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na mesto vgradnje in polaganje kanalizacijskih cevi iz armiranega poliestra(GRP) DN 300 mm, SN10.000 N/m2, izdelane po SIST EN 14364, dolžine 6 m z montirano spojko iz poliestra z EPDM tesnilom, vključno s priključitvijo na jaške. Notranji zaščitni sloj cevi iz čistega poliestra mora imeti min.deb. 1,0 mm.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</si>
  <si>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na mesto vgradnje in polaganje kanalizacijskih cevi iz armiranega poliestra(GRP) DN 400 mm, SN10.000 N/m2, izdelane po SIST EN 14364, dolžine 6 m z montirano spojko iz poliestra z EPDM tesnilom, vključno s priključitvijo na jaške. Notranji zaščitni sloj cevi iz čistega poliestra mora imeti min.deb. 1,0 mm.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</si>
  <si>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na mesto vgradnje in polaganje kanalizacijskih cevi iz armiranega poliestra(GRP) DN 500 mm, SN10.000 N/m2, izdelane po SIST EN 14364, dolžine 6 m z montirano spojko iz poliestra z EPDM tesnilom, vključno s priključitvijo na jaške. Notranji zaščitni sloj cevi iz čistega poliestra mora imeti min.deb. 1,0 mm.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</si>
  <si>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na mesto vgradnje in polaganje kanalizacijskih cevi iz armiranega poliestra(GRP) DN 600 mm, SN10.000 N/m2, izdelane po SIST EN 14364, dolžine 6 m z montirano spojko iz poliestra z EPDM tesnilom, vključno s priključitvijo na jaške. Notranji zaščitni sloj cevi iz čistega poliestra mora imeti min.deb. 1,0 mm.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</si>
  <si>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r>
      <t xml:space="preserve">Dobava na mesto vgradnje in montaža kanalskega pokrova z odprtinami in okvirja z zaklepanjem in protihrupnim vložkom LTŽ premera 600 mm, </t>
    </r>
    <r>
      <rPr>
        <sz val="10"/>
        <rFont val="Arial Baltic"/>
        <charset val="238"/>
      </rPr>
      <t>D400</t>
    </r>
    <r>
      <rPr>
        <sz val="10"/>
        <rFont val="Arial Baltic"/>
        <family val="2"/>
        <charset val="186"/>
      </rPr>
      <t xml:space="preserve">, SIST-EN 124-1996. V ceni so zajeta vsa dodatna in zaščitna dela. </t>
    </r>
  </si>
  <si>
    <t xml:space="preserve">Dobava na mesto vgradnje in montaža kanalskega pokrova z odprtinami in okvirja z zaklepanjem in protihrupnim vložkom LTŽ premera 600 mm, C250, SIST-EN 124-1996. V ceni so zajeta vsa dodatna in zaščitna dela. </t>
  </si>
  <si>
    <t xml:space="preserve">Dobava materiala na mesto vgradnje in izdelava cestnega betonskega požiralnika s peskolovom min. globine 50 cm, skupaj z izdelavo AB temelja in obbetoniranja BC premera 50 cm z betonom  C20/25;XC1, izdelavo AB okvirja, montažo LTŽ rešetke 400/400 mm, nosilnosti 400 kN, SIST EN 124 (art.701 ali enakovredna rešetka)  in izdelavo projektiranih priključkov ter obdelavo sten in dna s FCM 1:3 in trikratnim premazom s hidrotes +. V ceni so zajeta vsa dodatna in zaščitna dela. </t>
  </si>
  <si>
    <t>Nabava in montaža tipske kanalete iz polimernega betona SIST EN 1433, š = 150 mm, v = 210 mm, L=1000 mm, z zaščitnim LTŽ robom in LTŽ rešetko D 400, s širino rege  12 mm, vključno s polno zaključno in čelno iztočno steno DN 150. Višino in naklon rešetke je potrebno prilagoditi prečnim in vzdolžnim naklonom platoja.V ceni je zajeta izdelava betonske posteljice in obbetoniranje kanalete z betonom C30/37; XC3 -po detajlu, izdelava bitumizirane fuge in priključka na meteorno kanalizacijo ter vsa dodatna in zaščitna dela.</t>
  </si>
  <si>
    <t>84,0*0,58+9,0*1,71</t>
  </si>
  <si>
    <t>28,0*0,60+4,00*1,71</t>
  </si>
  <si>
    <t>155,0*0,70+18,0*1,71</t>
  </si>
  <si>
    <t>Krmilnik Eaton XC-303-C32-002</t>
  </si>
  <si>
    <r>
      <rPr>
        <b/>
        <sz val="9"/>
        <rFont val="Arial"/>
        <family val="2"/>
        <charset val="238"/>
      </rPr>
      <t xml:space="preserve">CENA </t>
    </r>
    <r>
      <rPr>
        <sz val="9"/>
        <rFont val="Arial"/>
        <family val="2"/>
        <charset val="238"/>
      </rPr>
      <t>(€)</t>
    </r>
  </si>
  <si>
    <t>NEPREDVIDENA DELA 10 %</t>
  </si>
  <si>
    <t>SKUPAJ 1</t>
  </si>
  <si>
    <t>naročnik</t>
  </si>
  <si>
    <t>MARJETICA d.o.o.</t>
  </si>
  <si>
    <t>Ulica 15. maja 4, 6000 Koper</t>
  </si>
  <si>
    <t>IZGRADNJA KANALIZACIJSKEGA SISTEMA NA OBMOČJU</t>
  </si>
  <si>
    <t>OBMOČJU AGLOMERACIJE ŠKOFIJE - SEKUNDARNO</t>
  </si>
  <si>
    <t>KANALIZACIJSKO OMREŽJE ŠKOFIJE 2. FAZA - II. ETAPA</t>
  </si>
  <si>
    <t>univ.dipl.inž.grad.</t>
  </si>
  <si>
    <t>ČRPALIŠČI SKUPAJ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</si>
</sst>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 _€_-;\-* #,##0.00\ _€_-;_-* &quot;-&quot;??\ _€_-;_-@_-"/>
    <numFmt numFmtId="164" formatCode="_-* #,##0.00\ _S_I_T_-;\-* #,##0.00\ _S_I_T_-;_-* &quot;-&quot;??\ _S_I_T_-;_-@_-"/>
    <numFmt numFmtId="165" formatCode="#,##0.00_ ;\-#,##0.00\ "/>
    <numFmt numFmtId="166" formatCode="#,##0.00&quot;       &quot;;&quot;-&quot;#,##0.00&quot;       &quot;;&quot;-&quot;#&quot;       &quot;;@&quot; &quot;"/>
    <numFmt numFmtId="167" formatCode="\$#,##0\ ;\(\$#,##0\)"/>
    <numFmt numFmtId="168" formatCode="0.0"/>
    <numFmt numFmtId="169" formatCode="###0;###0"/>
    <numFmt numFmtId="170" formatCode="#,##0;#,##0"/>
    <numFmt numFmtId="171" formatCode="\€#,##0.00;\€#,##0.00"/>
  </numFmts>
  <fonts count="100">
    <font>
      <sz val="11"/>
      <color theme="1"/>
      <name val="Calibri"/>
      <family val="2"/>
      <charset val="238"/>
      <scheme val="minor"/>
    </font>
    <font>
      <sz val="11"/>
      <color theme="1"/>
      <name val="Calibri"/>
      <family val="2"/>
      <charset val="238"/>
      <scheme val="minor"/>
    </font>
    <font>
      <sz val="12"/>
      <name val="Arial Narrow"/>
      <family val="2"/>
    </font>
    <font>
      <b/>
      <sz val="12"/>
      <name val="Arial Narrow"/>
      <family val="2"/>
    </font>
    <font>
      <sz val="10"/>
      <name val="Arial"/>
      <family val="2"/>
      <charset val="238"/>
    </font>
    <font>
      <b/>
      <sz val="14"/>
      <name val="Arial Narrow"/>
      <family val="2"/>
    </font>
    <font>
      <b/>
      <i/>
      <sz val="14"/>
      <name val="Arial Narrow"/>
      <family val="2"/>
      <charset val="238"/>
    </font>
    <font>
      <b/>
      <sz val="14"/>
      <name val="Arial Narrow"/>
      <family val="2"/>
      <charset val="238"/>
    </font>
    <font>
      <b/>
      <sz val="16"/>
      <name val="Arial Narrow"/>
      <family val="2"/>
    </font>
    <font>
      <b/>
      <sz val="16"/>
      <name val="Arial Narrow"/>
      <family val="2"/>
      <charset val="238"/>
    </font>
    <font>
      <b/>
      <sz val="10"/>
      <name val="Arial"/>
      <family val="2"/>
      <charset val="238"/>
    </font>
    <font>
      <b/>
      <i/>
      <sz val="12"/>
      <name val="Arial Narrow"/>
      <family val="2"/>
      <charset val="238"/>
    </font>
    <font>
      <b/>
      <sz val="12"/>
      <name val="Arial Narrow"/>
      <family val="2"/>
      <charset val="238"/>
    </font>
    <font>
      <b/>
      <u/>
      <sz val="20"/>
      <name val="Arial"/>
      <family val="2"/>
      <charset val="238"/>
    </font>
    <font>
      <b/>
      <sz val="12"/>
      <name val="Arial"/>
      <family val="2"/>
      <charset val="238"/>
    </font>
    <font>
      <sz val="12"/>
      <name val="Arial"/>
      <family val="2"/>
      <charset val="238"/>
    </font>
    <font>
      <i/>
      <sz val="12"/>
      <name val="Arial"/>
      <family val="2"/>
      <charset val="238"/>
    </font>
    <font>
      <b/>
      <i/>
      <sz val="14"/>
      <name val="Arial"/>
      <family val="2"/>
      <charset val="238"/>
    </font>
    <font>
      <b/>
      <i/>
      <sz val="14"/>
      <color theme="8" tint="-0.249977111117893"/>
      <name val="Arial"/>
      <family val="2"/>
      <charset val="238"/>
    </font>
    <font>
      <i/>
      <sz val="14"/>
      <name val="Arial"/>
      <family val="2"/>
      <charset val="238"/>
    </font>
    <font>
      <sz val="12"/>
      <name val="Arial Narrow"/>
      <family val="2"/>
      <charset val="238"/>
    </font>
    <font>
      <b/>
      <sz val="14"/>
      <name val="Arial"/>
      <family val="2"/>
      <charset val="238"/>
    </font>
    <font>
      <sz val="10"/>
      <color rgb="FFFF0000"/>
      <name val="Arial"/>
      <family val="2"/>
      <charset val="238"/>
    </font>
    <font>
      <b/>
      <u/>
      <sz val="10"/>
      <name val="Arial"/>
      <family val="2"/>
      <charset val="238"/>
    </font>
    <font>
      <sz val="10"/>
      <name val="Arial CE"/>
      <family val="2"/>
      <charset val="238"/>
    </font>
    <font>
      <b/>
      <sz val="10"/>
      <name val="Arial CE"/>
      <family val="2"/>
      <charset val="238"/>
    </font>
    <font>
      <sz val="10"/>
      <name val="Arial"/>
      <family val="2"/>
    </font>
    <font>
      <sz val="10"/>
      <name val="Arial Baltic"/>
      <family val="2"/>
      <charset val="186"/>
    </font>
    <font>
      <sz val="10"/>
      <name val="Arial Baltic"/>
      <charset val="238"/>
    </font>
    <font>
      <b/>
      <sz val="10"/>
      <name val="Arial Baltic"/>
      <family val="2"/>
      <charset val="186"/>
    </font>
    <font>
      <sz val="10"/>
      <color theme="1"/>
      <name val="Arial Narrow"/>
      <family val="2"/>
      <charset val="238"/>
    </font>
    <font>
      <sz val="10"/>
      <color theme="1"/>
      <name val="Arial"/>
      <family val="2"/>
      <charset val="238"/>
    </font>
    <font>
      <sz val="10"/>
      <name val="Arial CE"/>
      <charset val="238"/>
    </font>
    <font>
      <sz val="10"/>
      <name val="Arial Narrow"/>
      <family val="2"/>
      <charset val="238"/>
    </font>
    <font>
      <sz val="11"/>
      <color rgb="FF00B050"/>
      <name val="Calibri"/>
      <family val="2"/>
      <charset val="238"/>
      <scheme val="minor"/>
    </font>
    <font>
      <b/>
      <sz val="11"/>
      <name val="Arial"/>
      <family val="2"/>
      <charset val="238"/>
    </font>
    <font>
      <sz val="11"/>
      <name val="Calibri"/>
      <family val="2"/>
      <charset val="238"/>
      <scheme val="minor"/>
    </font>
    <font>
      <i/>
      <sz val="12"/>
      <name val="Arial Narrow"/>
      <family val="2"/>
      <charset val="238"/>
    </font>
    <font>
      <b/>
      <u/>
      <sz val="12"/>
      <name val="Arial Narrow"/>
      <family val="2"/>
      <charset val="238"/>
    </font>
    <font>
      <b/>
      <u/>
      <sz val="11"/>
      <name val="Arial"/>
      <family val="2"/>
      <charset val="238"/>
    </font>
    <font>
      <sz val="11"/>
      <name val="Arial"/>
      <family val="2"/>
      <charset val="238"/>
    </font>
    <font>
      <b/>
      <sz val="11"/>
      <name val="Arial Baltic"/>
      <family val="2"/>
      <charset val="186"/>
    </font>
    <font>
      <b/>
      <u val="singleAccounting"/>
      <sz val="11"/>
      <name val="Arial"/>
      <family val="2"/>
      <charset val="238"/>
    </font>
    <font>
      <b/>
      <i/>
      <sz val="10"/>
      <name val="Arial Narrow"/>
      <family val="2"/>
      <charset val="238"/>
    </font>
    <font>
      <b/>
      <u/>
      <sz val="10"/>
      <name val="Arial Narrow"/>
      <family val="2"/>
      <charset val="238"/>
    </font>
    <font>
      <b/>
      <u/>
      <sz val="16"/>
      <name val="Arial"/>
      <family val="2"/>
      <charset val="238"/>
    </font>
    <font>
      <i/>
      <sz val="11"/>
      <name val="Arial"/>
      <family val="2"/>
      <charset val="238"/>
    </font>
    <font>
      <b/>
      <sz val="10"/>
      <name val="Arial"/>
      <family val="2"/>
    </font>
    <font>
      <sz val="11"/>
      <color theme="1"/>
      <name val="Arial CE"/>
      <charset val="238"/>
    </font>
    <font>
      <b/>
      <sz val="11"/>
      <name val="Calibri"/>
      <family val="2"/>
      <charset val="238"/>
      <scheme val="minor"/>
    </font>
    <font>
      <u/>
      <sz val="11"/>
      <name val="Arial"/>
      <family val="2"/>
      <charset val="238"/>
    </font>
    <font>
      <sz val="10"/>
      <name val="Arial"/>
      <family val="2"/>
      <charset val="238"/>
    </font>
    <font>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b/>
      <sz val="11"/>
      <color indexed="10"/>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19"/>
      <name val="Calibri"/>
      <family val="2"/>
      <charset val="238"/>
    </font>
    <font>
      <b/>
      <i/>
      <sz val="12"/>
      <name val="Arial"/>
      <family val="2"/>
      <charset val="238"/>
    </font>
    <font>
      <b/>
      <i/>
      <sz val="10"/>
      <name val="Arial"/>
      <family val="2"/>
      <charset val="238"/>
    </font>
    <font>
      <sz val="11"/>
      <color theme="1"/>
      <name val="Arial"/>
      <family val="2"/>
      <charset val="238"/>
    </font>
    <font>
      <b/>
      <i/>
      <sz val="11"/>
      <name val="Arial"/>
      <family val="2"/>
      <charset val="238"/>
    </font>
    <font>
      <b/>
      <i/>
      <u/>
      <sz val="12"/>
      <name val="Arial"/>
      <family val="2"/>
      <charset val="238"/>
    </font>
    <font>
      <sz val="12"/>
      <color theme="1"/>
      <name val="Arial"/>
      <family val="2"/>
      <charset val="238"/>
    </font>
    <font>
      <b/>
      <i/>
      <sz val="8"/>
      <name val="Arial"/>
      <family val="2"/>
      <charset val="238"/>
    </font>
    <font>
      <b/>
      <sz val="9"/>
      <name val="Arial"/>
      <family val="2"/>
      <charset val="238"/>
    </font>
    <font>
      <sz val="9"/>
      <name val="Arial"/>
      <family val="2"/>
      <charset val="238"/>
    </font>
    <font>
      <sz val="10"/>
      <color rgb="FF414141"/>
      <name val="Arial"/>
      <family val="2"/>
    </font>
    <font>
      <sz val="10"/>
      <color rgb="FF525252"/>
      <name val="Arial"/>
      <family val="2"/>
    </font>
    <font>
      <b/>
      <i/>
      <sz val="9"/>
      <name val="Arial"/>
      <family val="2"/>
      <charset val="238"/>
    </font>
    <font>
      <i/>
      <sz val="10"/>
      <name val="Arial"/>
      <family val="2"/>
      <charset val="238"/>
    </font>
    <font>
      <b/>
      <i/>
      <u/>
      <sz val="11"/>
      <name val="Arial"/>
      <family val="2"/>
      <charset val="238"/>
    </font>
    <font>
      <b/>
      <sz val="9"/>
      <name val="Arial"/>
      <family val="2"/>
    </font>
    <font>
      <b/>
      <sz val="8"/>
      <name val="Arial"/>
      <family val="2"/>
    </font>
    <font>
      <sz val="9"/>
      <name val="Arial"/>
      <family val="2"/>
    </font>
    <font>
      <sz val="9"/>
      <name val="Times New Roman"/>
      <family val="2"/>
    </font>
    <font>
      <b/>
      <sz val="11"/>
      <name val="Arial"/>
      <family val="2"/>
    </font>
    <font>
      <i/>
      <sz val="9"/>
      <name val="Arial"/>
      <family val="2"/>
    </font>
    <font>
      <sz val="10"/>
      <name val="Times New Roman"/>
      <family val="2"/>
    </font>
    <font>
      <sz val="11"/>
      <name val="Times New Roman"/>
      <family val="2"/>
    </font>
    <font>
      <sz val="11"/>
      <name val="Arial"/>
      <family val="2"/>
    </font>
    <font>
      <i/>
      <sz val="10"/>
      <name val="Times New Roman"/>
      <family val="1"/>
      <charset val="238"/>
    </font>
    <font>
      <b/>
      <sz val="10"/>
      <name val="Arial Narrow"/>
      <family val="2"/>
      <charset val="238"/>
    </font>
    <font>
      <b/>
      <u/>
      <sz val="10"/>
      <name val="Arial CE"/>
      <charset val="238"/>
    </font>
    <font>
      <sz val="8"/>
      <name val="Arial Narrow"/>
      <family val="2"/>
      <charset val="238"/>
    </font>
    <font>
      <i/>
      <sz val="8"/>
      <name val="Arial Narrow"/>
      <family val="2"/>
      <charset val="238"/>
    </font>
    <font>
      <sz val="8"/>
      <name val="Arial"/>
      <family val="2"/>
      <charset val="238"/>
    </font>
    <font>
      <i/>
      <sz val="8"/>
      <name val="Arial"/>
      <family val="2"/>
      <charset val="238"/>
    </font>
  </fonts>
  <fills count="19">
    <fill>
      <patternFill patternType="none"/>
    </fill>
    <fill>
      <patternFill patternType="gray125"/>
    </fill>
    <fill>
      <patternFill patternType="solid">
        <fgColor indexed="26"/>
      </patternFill>
    </fill>
    <fill>
      <patternFill patternType="solid">
        <fgColor indexed="4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46"/>
      </patternFill>
    </fill>
    <fill>
      <patternFill patternType="solid">
        <fgColor indexed="9"/>
      </patternFill>
    </fill>
    <fill>
      <patternFill patternType="solid">
        <fgColor indexed="55"/>
      </patternFill>
    </fill>
    <fill>
      <patternFill patternType="solid">
        <fgColor indexed="62"/>
      </patternFill>
    </fill>
    <fill>
      <patternFill patternType="solid">
        <fgColor indexed="57"/>
      </patternFill>
    </fill>
    <fill>
      <patternFill patternType="solid">
        <fgColor indexed="36"/>
      </patternFill>
    </fill>
    <fill>
      <patternFill patternType="solid">
        <fgColor indexed="22"/>
      </patternFill>
    </fill>
  </fills>
  <borders count="22">
    <border>
      <left/>
      <right/>
      <top/>
      <bottom/>
      <diagonal/>
    </border>
    <border>
      <left/>
      <right/>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indexed="56"/>
      </top>
      <bottom style="double">
        <color indexed="56"/>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s>
  <cellStyleXfs count="58">
    <xf numFmtId="0" fontId="0" fillId="0" borderId="0"/>
    <xf numFmtId="43" fontId="1" fillId="0" borderId="0" applyFont="0" applyFill="0" applyBorder="0" applyAlignment="0" applyProtection="0"/>
    <xf numFmtId="9" fontId="1" fillId="0" borderId="0" applyFont="0" applyFill="0" applyBorder="0" applyAlignment="0" applyProtection="0"/>
    <xf numFmtId="0" fontId="30" fillId="0" borderId="0"/>
    <xf numFmtId="166" fontId="48" fillId="0" borderId="0"/>
    <xf numFmtId="0" fontId="51" fillId="0" borderId="0"/>
    <xf numFmtId="0" fontId="52" fillId="8" borderId="0" applyNumberFormat="0" applyBorder="0" applyAlignment="0" applyProtection="0"/>
    <xf numFmtId="0" fontId="52" fillId="6" borderId="0" applyNumberFormat="0" applyBorder="0" applyAlignment="0" applyProtection="0"/>
    <xf numFmtId="0" fontId="52" fillId="7" borderId="0" applyNumberFormat="0" applyBorder="0" applyAlignment="0" applyProtection="0"/>
    <xf numFmtId="0" fontId="52" fillId="9" borderId="0" applyNumberFormat="0" applyBorder="0" applyAlignment="0" applyProtection="0"/>
    <xf numFmtId="0" fontId="52" fillId="10" borderId="0" applyNumberFormat="0" applyBorder="0" applyAlignment="0" applyProtection="0"/>
    <xf numFmtId="0" fontId="52" fillId="11" borderId="0" applyNumberFormat="0" applyBorder="0" applyAlignment="0" applyProtection="0"/>
    <xf numFmtId="0" fontId="62" fillId="12" borderId="0" applyNumberFormat="0" applyBorder="0" applyAlignment="0" applyProtection="0"/>
    <xf numFmtId="0" fontId="65" fillId="13" borderId="4" applyNumberFormat="0" applyAlignment="0" applyProtection="0"/>
    <xf numFmtId="0" fontId="60" fillId="14" borderId="5" applyNumberFormat="0" applyAlignment="0" applyProtection="0"/>
    <xf numFmtId="164" fontId="51" fillId="0" borderId="0" applyFont="0" applyFill="0" applyBorder="0" applyAlignment="0" applyProtection="0"/>
    <xf numFmtId="3" fontId="51" fillId="0" borderId="0" applyFont="0" applyFill="0" applyBorder="0" applyAlignment="0" applyProtection="0"/>
    <xf numFmtId="167" fontId="51" fillId="0" borderId="0" applyFont="0" applyFill="0" applyBorder="0" applyAlignment="0" applyProtection="0"/>
    <xf numFmtId="0" fontId="51" fillId="0" borderId="0" applyFont="0" applyFill="0" applyBorder="0" applyAlignment="0" applyProtection="0"/>
    <xf numFmtId="0" fontId="58" fillId="0" borderId="0" applyNumberFormat="0" applyFill="0" applyBorder="0" applyAlignment="0" applyProtection="0"/>
    <xf numFmtId="2" fontId="51" fillId="0" borderId="0" applyFont="0" applyFill="0" applyBorder="0" applyAlignment="0" applyProtection="0"/>
    <xf numFmtId="0" fontId="66" fillId="0" borderId="6" applyNumberFormat="0" applyFill="0" applyAlignment="0" applyProtection="0"/>
    <xf numFmtId="0" fontId="67" fillId="0" borderId="7" applyNumberFormat="0" applyFill="0" applyAlignment="0" applyProtection="0"/>
    <xf numFmtId="0" fontId="68" fillId="0" borderId="8" applyNumberFormat="0" applyFill="0" applyAlignment="0" applyProtection="0"/>
    <xf numFmtId="0" fontId="68" fillId="0" borderId="0" applyNumberFormat="0" applyFill="0" applyBorder="0" applyAlignment="0" applyProtection="0"/>
    <xf numFmtId="0" fontId="63" fillId="4" borderId="4" applyNumberFormat="0" applyAlignment="0" applyProtection="0"/>
    <xf numFmtId="0" fontId="57" fillId="0" borderId="9" applyNumberFormat="0" applyFill="0" applyAlignment="0" applyProtection="0"/>
    <xf numFmtId="0" fontId="53" fillId="0" borderId="10" applyNumberFormat="0" applyFill="0" applyAlignment="0" applyProtection="0"/>
    <xf numFmtId="0" fontId="54" fillId="0" borderId="11" applyNumberFormat="0" applyFill="0" applyAlignment="0" applyProtection="0"/>
    <xf numFmtId="0" fontId="55" fillId="0" borderId="12" applyNumberFormat="0" applyFill="0" applyAlignment="0" applyProtection="0"/>
    <xf numFmtId="0" fontId="55" fillId="0" borderId="0" applyNumberFormat="0" applyFill="0" applyBorder="0" applyAlignment="0" applyProtection="0"/>
    <xf numFmtId="0" fontId="69" fillId="4" borderId="0" applyNumberFormat="0" applyBorder="0" applyAlignment="0" applyProtection="0"/>
    <xf numFmtId="0" fontId="56" fillId="4" borderId="0" applyNumberFormat="0" applyBorder="0" applyAlignment="0" applyProtection="0"/>
    <xf numFmtId="0" fontId="32" fillId="2" borderId="13" applyNumberFormat="0" applyFont="0" applyAlignment="0" applyProtection="0"/>
    <xf numFmtId="0" fontId="4" fillId="2" borderId="13" applyNumberFormat="0" applyFont="0" applyAlignment="0" applyProtection="0"/>
    <xf numFmtId="9" fontId="51" fillId="0" borderId="0" applyFont="0" applyFill="0" applyBorder="0" applyAlignment="0" applyProtection="0"/>
    <xf numFmtId="0" fontId="58" fillId="0" borderId="0" applyNumberFormat="0" applyFill="0" applyBorder="0" applyAlignment="0" applyProtection="0"/>
    <xf numFmtId="0" fontId="52" fillId="15" borderId="0" applyNumberFormat="0" applyBorder="0" applyAlignment="0" applyProtection="0"/>
    <xf numFmtId="0" fontId="52" fillId="11" borderId="0" applyNumberFormat="0" applyBorder="0" applyAlignment="0" applyProtection="0"/>
    <xf numFmtId="0" fontId="52" fillId="16" borderId="0" applyNumberFormat="0" applyBorder="0" applyAlignment="0" applyProtection="0"/>
    <xf numFmtId="0" fontId="52" fillId="17" borderId="0" applyNumberFormat="0" applyBorder="0" applyAlignment="0" applyProtection="0"/>
    <xf numFmtId="0" fontId="52" fillId="10" borderId="0" applyNumberFormat="0" applyBorder="0" applyAlignment="0" applyProtection="0"/>
    <xf numFmtId="0" fontId="52" fillId="6" borderId="0" applyNumberFormat="0" applyBorder="0" applyAlignment="0" applyProtection="0"/>
    <xf numFmtId="0" fontId="59" fillId="0" borderId="14" applyNumberFormat="0" applyFill="0" applyAlignment="0" applyProtection="0"/>
    <xf numFmtId="0" fontId="60" fillId="14" borderId="5" applyNumberFormat="0" applyAlignment="0" applyProtection="0"/>
    <xf numFmtId="0" fontId="61" fillId="18" borderId="4" applyNumberFormat="0" applyAlignment="0" applyProtection="0"/>
    <xf numFmtId="0" fontId="62" fillId="5" borderId="0" applyNumberFormat="0" applyBorder="0" applyAlignment="0" applyProtection="0"/>
    <xf numFmtId="0" fontId="64" fillId="0" borderId="15" applyNumberFormat="0" applyFill="0" applyAlignment="0" applyProtection="0"/>
    <xf numFmtId="0" fontId="63" fillId="3" borderId="4" applyNumberFormat="0" applyAlignment="0" applyProtection="0"/>
    <xf numFmtId="0" fontId="64" fillId="0" borderId="16" applyNumberFormat="0" applyFill="0" applyAlignment="0" applyProtection="0"/>
    <xf numFmtId="0" fontId="4" fillId="0" borderId="0"/>
    <xf numFmtId="0" fontId="4" fillId="0" borderId="0" applyFont="0" applyFill="0" applyBorder="0" applyAlignment="0" applyProtection="0"/>
    <xf numFmtId="2" fontId="4" fillId="0" borderId="0" applyFont="0" applyFill="0" applyBorder="0" applyAlignment="0" applyProtection="0"/>
    <xf numFmtId="9" fontId="4" fillId="0" borderId="0" applyFont="0" applyFill="0" applyBorder="0" applyAlignment="0" applyProtection="0"/>
    <xf numFmtId="167" fontId="4" fillId="0" borderId="0" applyFont="0" applyFill="0" applyBorder="0" applyAlignment="0" applyProtection="0"/>
    <xf numFmtId="3" fontId="4" fillId="0" borderId="0" applyFont="0" applyFill="0" applyBorder="0" applyAlignment="0" applyProtection="0"/>
    <xf numFmtId="164" fontId="4" fillId="0" borderId="0" applyFont="0" applyFill="0" applyBorder="0" applyAlignment="0" applyProtection="0"/>
    <xf numFmtId="0" fontId="4" fillId="0" borderId="0"/>
  </cellStyleXfs>
  <cellXfs count="494">
    <xf numFmtId="0" fontId="0" fillId="0" borderId="0" xfId="0"/>
    <xf numFmtId="0" fontId="2"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xf numFmtId="0" fontId="8" fillId="0" borderId="0" xfId="0" applyFont="1" applyAlignment="1">
      <alignment horizontal="left" vertical="center"/>
    </xf>
    <xf numFmtId="0" fontId="8" fillId="0" borderId="0" xfId="0" applyFont="1"/>
    <xf numFmtId="0" fontId="3" fillId="0" borderId="0" xfId="0" applyFont="1"/>
    <xf numFmtId="17" fontId="2" fillId="0" borderId="0" xfId="0" applyNumberFormat="1" applyFont="1" applyAlignment="1">
      <alignment horizontal="left"/>
    </xf>
    <xf numFmtId="17" fontId="9" fillId="0" borderId="0" xfId="0" applyNumberFormat="1" applyFont="1" applyAlignment="1">
      <alignment horizontal="left" vertical="center"/>
    </xf>
    <xf numFmtId="17" fontId="2" fillId="0" borderId="0" xfId="0" applyNumberFormat="1" applyFont="1"/>
    <xf numFmtId="17" fontId="9" fillId="0" borderId="0" xfId="0" applyNumberFormat="1" applyFont="1"/>
    <xf numFmtId="0" fontId="10" fillId="0" borderId="0" xfId="0" applyFont="1" applyAlignment="1">
      <alignment horizontal="right" vertical="center"/>
    </xf>
    <xf numFmtId="0" fontId="11" fillId="0" borderId="0" xfId="0" applyFont="1" applyAlignment="1">
      <alignment horizontal="left" vertical="center"/>
    </xf>
    <xf numFmtId="164" fontId="4" fillId="0" borderId="0" xfId="1" applyNumberFormat="1" applyFont="1" applyAlignment="1">
      <alignment horizontal="center" vertical="center"/>
    </xf>
    <xf numFmtId="0" fontId="12" fillId="0" borderId="0" xfId="0" applyFont="1" applyAlignment="1">
      <alignment horizontal="left" vertical="center"/>
    </xf>
    <xf numFmtId="0" fontId="4" fillId="0" borderId="0" xfId="0" applyFont="1" applyAlignment="1">
      <alignment vertical="top" wrapText="1"/>
    </xf>
    <xf numFmtId="0" fontId="13" fillId="0" borderId="0" xfId="0" applyFont="1" applyAlignment="1">
      <alignment horizontal="center" vertical="center"/>
    </xf>
    <xf numFmtId="0" fontId="14" fillId="0" borderId="0" xfId="0" applyFont="1" applyAlignment="1">
      <alignment horizontal="center" vertical="center"/>
    </xf>
    <xf numFmtId="0" fontId="14" fillId="0" borderId="0" xfId="0" applyFont="1" applyBorder="1" applyAlignment="1">
      <alignment horizontal="left" vertical="center" wrapText="1"/>
    </xf>
    <xf numFmtId="0" fontId="15" fillId="0" borderId="0" xfId="0" applyFont="1"/>
    <xf numFmtId="0" fontId="14" fillId="0" borderId="0" xfId="0" applyFont="1" applyAlignment="1">
      <alignment horizontal="right" vertical="center"/>
    </xf>
    <xf numFmtId="0" fontId="14" fillId="0" borderId="0" xfId="0" applyFont="1" applyBorder="1" applyAlignment="1">
      <alignment vertical="top" wrapText="1"/>
    </xf>
    <xf numFmtId="0" fontId="14" fillId="0" borderId="0" xfId="0" applyFont="1" applyBorder="1" applyAlignment="1">
      <alignment horizontal="center" vertical="center" wrapText="1"/>
    </xf>
    <xf numFmtId="0" fontId="16" fillId="0" borderId="0" xfId="0" applyFont="1" applyAlignment="1">
      <alignment horizontal="center" vertical="center" wrapText="1"/>
    </xf>
    <xf numFmtId="0" fontId="15" fillId="0" borderId="0" xfId="0" applyFont="1" applyAlignment="1">
      <alignment vertical="top" wrapText="1"/>
    </xf>
    <xf numFmtId="0" fontId="17" fillId="0" borderId="0" xfId="0" applyFont="1" applyAlignment="1">
      <alignment horizontal="right" vertical="center"/>
    </xf>
    <xf numFmtId="0" fontId="17" fillId="0" borderId="2" xfId="0" applyFont="1" applyBorder="1" applyAlignment="1">
      <alignment horizontal="center" vertical="center" wrapText="1"/>
    </xf>
    <xf numFmtId="0" fontId="19" fillId="0" borderId="0" xfId="0" applyFont="1"/>
    <xf numFmtId="164" fontId="15" fillId="0" borderId="0" xfId="1" applyNumberFormat="1" applyFont="1" applyAlignment="1">
      <alignment horizontal="center" vertical="center"/>
    </xf>
    <xf numFmtId="164" fontId="4" fillId="0" borderId="0" xfId="1" applyNumberFormat="1" applyFont="1" applyAlignment="1">
      <alignment vertical="top" wrapText="1"/>
    </xf>
    <xf numFmtId="17" fontId="14" fillId="0" borderId="0" xfId="0" applyNumberFormat="1" applyFont="1" applyAlignment="1">
      <alignment horizontal="center" vertical="center" wrapText="1"/>
    </xf>
    <xf numFmtId="0" fontId="10" fillId="0" borderId="0" xfId="0" applyFont="1" applyAlignment="1">
      <alignment horizontal="center" vertical="center"/>
    </xf>
    <xf numFmtId="0" fontId="20" fillId="0" borderId="0" xfId="0" applyFont="1" applyAlignment="1">
      <alignment horizontal="left" vertical="center"/>
    </xf>
    <xf numFmtId="0" fontId="20" fillId="0" borderId="0" xfId="0" applyFont="1"/>
    <xf numFmtId="0" fontId="21" fillId="0" borderId="0" xfId="0" applyFont="1" applyBorder="1" applyAlignment="1">
      <alignment horizontal="left" vertical="center" wrapText="1"/>
    </xf>
    <xf numFmtId="0" fontId="21" fillId="0" borderId="1" xfId="0" applyFont="1" applyBorder="1" applyAlignment="1">
      <alignment horizontal="center" vertical="center"/>
    </xf>
    <xf numFmtId="0" fontId="21" fillId="0" borderId="1" xfId="0" applyFont="1" applyBorder="1" applyAlignment="1">
      <alignment horizontal="left" vertical="center" wrapText="1"/>
    </xf>
    <xf numFmtId="0" fontId="14" fillId="0" borderId="0" xfId="0" applyFont="1" applyBorder="1" applyAlignment="1">
      <alignment horizontal="center" vertical="center"/>
    </xf>
    <xf numFmtId="0" fontId="17" fillId="0" borderId="0" xfId="0" applyFont="1" applyAlignment="1">
      <alignment horizontal="center" vertical="center"/>
    </xf>
    <xf numFmtId="0" fontId="10" fillId="0" borderId="0" xfId="0" applyFont="1" applyFill="1" applyAlignment="1">
      <alignment horizontal="center" wrapText="1"/>
    </xf>
    <xf numFmtId="4" fontId="10" fillId="0" borderId="0" xfId="0" applyNumberFormat="1" applyFont="1" applyFill="1" applyAlignment="1">
      <alignment wrapText="1"/>
    </xf>
    <xf numFmtId="4" fontId="4" fillId="0" borderId="0" xfId="1" applyNumberFormat="1" applyFont="1" applyFill="1" applyBorder="1" applyAlignment="1">
      <alignment wrapText="1"/>
    </xf>
    <xf numFmtId="4" fontId="10" fillId="0" borderId="0" xfId="1" applyNumberFormat="1" applyFont="1" applyFill="1" applyBorder="1" applyAlignment="1">
      <alignment horizontal="right" wrapText="1"/>
    </xf>
    <xf numFmtId="1" fontId="10" fillId="0" borderId="0" xfId="0" applyNumberFormat="1" applyFont="1" applyFill="1" applyAlignment="1">
      <alignment horizontal="center" vertical="top" wrapText="1"/>
    </xf>
    <xf numFmtId="0" fontId="23" fillId="0" borderId="0" xfId="0" applyFont="1" applyFill="1" applyAlignment="1">
      <alignment horizontal="center" vertical="top" wrapText="1"/>
    </xf>
    <xf numFmtId="4" fontId="24" fillId="0" borderId="0" xfId="0" applyNumberFormat="1" applyFont="1" applyAlignment="1">
      <alignment vertical="top" wrapText="1"/>
    </xf>
    <xf numFmtId="0" fontId="28" fillId="0" borderId="0" xfId="0" applyNumberFormat="1" applyFont="1" applyAlignment="1">
      <alignment horizontal="left" vertical="top" wrapText="1"/>
    </xf>
    <xf numFmtId="0" fontId="27" fillId="0" borderId="0" xfId="0" applyNumberFormat="1" applyFont="1" applyAlignment="1">
      <alignment horizontal="left" vertical="top" wrapText="1"/>
    </xf>
    <xf numFmtId="4" fontId="4" fillId="0" borderId="0" xfId="0" applyNumberFormat="1" applyFont="1" applyAlignment="1">
      <alignment vertical="top" wrapText="1"/>
    </xf>
    <xf numFmtId="4" fontId="4" fillId="0" borderId="0" xfId="1" applyNumberFormat="1" applyFont="1" applyAlignment="1">
      <alignment horizontal="right" wrapText="1"/>
    </xf>
    <xf numFmtId="164" fontId="4" fillId="0" borderId="0" xfId="1" applyNumberFormat="1" applyFont="1" applyAlignment="1">
      <alignment horizontal="right" wrapText="1"/>
    </xf>
    <xf numFmtId="0" fontId="4" fillId="0" borderId="0" xfId="0" applyNumberFormat="1" applyFont="1" applyAlignment="1">
      <alignment vertical="top" wrapText="1"/>
    </xf>
    <xf numFmtId="4" fontId="4" fillId="0" borderId="0" xfId="1" applyNumberFormat="1" applyFont="1" applyFill="1" applyAlignment="1" applyProtection="1">
      <alignment horizontal="right" wrapText="1"/>
    </xf>
    <xf numFmtId="164" fontId="4" fillId="0" borderId="0" xfId="1" applyNumberFormat="1" applyFont="1" applyFill="1" applyAlignment="1" applyProtection="1">
      <alignment horizontal="right" wrapText="1"/>
    </xf>
    <xf numFmtId="0" fontId="4" fillId="0" borderId="0" xfId="0" applyFont="1" applyFill="1" applyAlignment="1">
      <alignment vertical="top" wrapText="1"/>
    </xf>
    <xf numFmtId="4" fontId="4" fillId="0" borderId="0" xfId="0" applyNumberFormat="1" applyFont="1" applyFill="1" applyAlignment="1">
      <alignment wrapText="1"/>
    </xf>
    <xf numFmtId="0" fontId="24" fillId="0" borderId="0" xfId="0" applyFont="1" applyAlignment="1">
      <alignment vertical="top" wrapText="1"/>
    </xf>
    <xf numFmtId="0" fontId="25" fillId="0" borderId="0" xfId="2" applyNumberFormat="1" applyFont="1" applyAlignment="1">
      <alignment horizontal="center"/>
    </xf>
    <xf numFmtId="4" fontId="24" fillId="0" borderId="0" xfId="0" applyNumberFormat="1" applyFont="1" applyAlignment="1">
      <alignment horizontal="right" wrapText="1"/>
    </xf>
    <xf numFmtId="0" fontId="27" fillId="0" borderId="0" xfId="0" applyFont="1" applyAlignment="1">
      <alignment vertical="top" wrapText="1"/>
    </xf>
    <xf numFmtId="4" fontId="27" fillId="0" borderId="0" xfId="1" applyNumberFormat="1" applyFont="1" applyAlignment="1">
      <alignment horizontal="right" wrapText="1"/>
    </xf>
    <xf numFmtId="4" fontId="29" fillId="0" borderId="0" xfId="1" applyNumberFormat="1" applyFont="1" applyAlignment="1">
      <alignment horizontal="right"/>
    </xf>
    <xf numFmtId="4" fontId="4" fillId="0" borderId="0" xfId="0" applyNumberFormat="1" applyFont="1" applyAlignment="1">
      <alignment horizontal="right" wrapText="1"/>
    </xf>
    <xf numFmtId="165" fontId="4" fillId="0" borderId="0" xfId="1" applyNumberFormat="1" applyFont="1" applyAlignment="1">
      <alignment horizontal="right"/>
    </xf>
    <xf numFmtId="4" fontId="27" fillId="0" borderId="0" xfId="0" applyNumberFormat="1" applyFont="1" applyAlignment="1">
      <alignment vertical="top" wrapText="1"/>
    </xf>
    <xf numFmtId="4" fontId="27" fillId="0" borderId="0" xfId="1" applyNumberFormat="1" applyFont="1" applyAlignment="1">
      <alignment horizontal="right"/>
    </xf>
    <xf numFmtId="0" fontId="24" fillId="0" borderId="0" xfId="0" applyFont="1" applyFill="1" applyAlignment="1">
      <alignment horizontal="left" vertical="top" wrapText="1"/>
    </xf>
    <xf numFmtId="0" fontId="4" fillId="0" borderId="0" xfId="0" applyFont="1" applyFill="1" applyAlignment="1">
      <alignment horizontal="left" vertical="top" wrapText="1"/>
    </xf>
    <xf numFmtId="0" fontId="27" fillId="0" borderId="0" xfId="0" applyFont="1" applyAlignment="1">
      <alignment horizontal="left" vertical="top" wrapText="1"/>
    </xf>
    <xf numFmtId="0" fontId="4" fillId="0" borderId="0" xfId="0" applyFont="1" applyAlignment="1">
      <alignment horizontal="left" vertical="top" wrapText="1"/>
    </xf>
    <xf numFmtId="4" fontId="27" fillId="0" borderId="0" xfId="1" applyNumberFormat="1" applyFont="1" applyAlignment="1"/>
    <xf numFmtId="0" fontId="10" fillId="0" borderId="0" xfId="0" applyFont="1" applyAlignment="1">
      <alignment horizontal="center"/>
    </xf>
    <xf numFmtId="0" fontId="4" fillId="0" borderId="0" xfId="0" applyNumberFormat="1" applyFont="1" applyAlignment="1">
      <alignment horizontal="left" vertical="top" wrapText="1"/>
    </xf>
    <xf numFmtId="9" fontId="10" fillId="0" borderId="0" xfId="0" applyNumberFormat="1" applyFont="1" applyFill="1" applyAlignment="1">
      <alignment horizontal="center" wrapText="1"/>
    </xf>
    <xf numFmtId="0" fontId="36" fillId="0" borderId="0" xfId="0" applyFont="1"/>
    <xf numFmtId="0" fontId="37" fillId="0" borderId="0" xfId="0" applyFont="1" applyAlignment="1">
      <alignment horizontal="left" vertical="center"/>
    </xf>
    <xf numFmtId="0" fontId="38" fillId="0" borderId="0" xfId="0" applyFont="1" applyAlignment="1">
      <alignment horizontal="left" vertical="center"/>
    </xf>
    <xf numFmtId="4" fontId="10" fillId="0" borderId="0" xfId="0" applyNumberFormat="1" applyFont="1" applyAlignment="1">
      <alignment horizontal="right" vertical="center"/>
    </xf>
    <xf numFmtId="4" fontId="4" fillId="0" borderId="0" xfId="1" applyNumberFormat="1" applyFont="1" applyAlignment="1">
      <alignment horizontal="center" vertical="center"/>
    </xf>
    <xf numFmtId="4" fontId="4" fillId="0" borderId="0" xfId="0" applyNumberFormat="1" applyFont="1"/>
    <xf numFmtId="4" fontId="15" fillId="0" borderId="0" xfId="0" applyNumberFormat="1" applyFont="1"/>
    <xf numFmtId="4" fontId="23" fillId="0" borderId="0" xfId="0" applyNumberFormat="1" applyFont="1" applyAlignment="1">
      <alignment horizontal="center" vertical="center"/>
    </xf>
    <xf numFmtId="4" fontId="35" fillId="0" borderId="0" xfId="0" applyNumberFormat="1" applyFont="1" applyAlignment="1">
      <alignment horizontal="right" vertical="center"/>
    </xf>
    <xf numFmtId="4" fontId="40" fillId="0" borderId="0" xfId="0" applyNumberFormat="1" applyFont="1"/>
    <xf numFmtId="4" fontId="35" fillId="0" borderId="0" xfId="0" applyNumberFormat="1" applyFont="1" applyFill="1" applyAlignment="1">
      <alignment horizontal="left" vertical="top" wrapText="1"/>
    </xf>
    <xf numFmtId="4" fontId="35" fillId="0" borderId="0" xfId="0" applyNumberFormat="1" applyFont="1" applyBorder="1" applyAlignment="1">
      <alignment horizontal="left" vertical="center" wrapText="1"/>
    </xf>
    <xf numFmtId="0" fontId="14" fillId="0" borderId="0" xfId="0" applyNumberFormat="1" applyFont="1" applyAlignment="1">
      <alignment horizontal="center" vertical="center"/>
    </xf>
    <xf numFmtId="0" fontId="10" fillId="0" borderId="0" xfId="0" applyNumberFormat="1" applyFont="1" applyAlignment="1">
      <alignment horizontal="center" vertical="center"/>
    </xf>
    <xf numFmtId="0" fontId="17" fillId="0" borderId="0" xfId="0" applyNumberFormat="1" applyFont="1" applyAlignment="1">
      <alignment horizontal="center" vertical="center"/>
    </xf>
    <xf numFmtId="0" fontId="35" fillId="0" borderId="0" xfId="0" applyNumberFormat="1" applyFont="1" applyAlignment="1">
      <alignment horizontal="center" vertical="center"/>
    </xf>
    <xf numFmtId="4" fontId="18" fillId="0" borderId="0" xfId="1" applyNumberFormat="1" applyFont="1" applyBorder="1" applyAlignment="1">
      <alignment horizontal="right" vertical="center"/>
    </xf>
    <xf numFmtId="0" fontId="35" fillId="0" borderId="0" xfId="0" applyFont="1" applyAlignment="1">
      <alignment horizontal="right" vertical="center"/>
    </xf>
    <xf numFmtId="0" fontId="40" fillId="0" borderId="0" xfId="0" applyFont="1"/>
    <xf numFmtId="4" fontId="40" fillId="0" borderId="0" xfId="0" applyNumberFormat="1" applyFont="1" applyAlignment="1">
      <alignment horizontal="right" vertical="center"/>
    </xf>
    <xf numFmtId="4" fontId="39" fillId="0" borderId="0" xfId="0" applyNumberFormat="1" applyFont="1" applyAlignment="1">
      <alignment horizontal="right"/>
    </xf>
    <xf numFmtId="4" fontId="40" fillId="0" borderId="0" xfId="1" applyNumberFormat="1" applyFont="1" applyAlignment="1">
      <alignment horizontal="right"/>
    </xf>
    <xf numFmtId="4" fontId="40" fillId="0" borderId="0" xfId="0" applyNumberFormat="1" applyFont="1" applyAlignment="1">
      <alignment horizontal="right"/>
    </xf>
    <xf numFmtId="4" fontId="35" fillId="0" borderId="0" xfId="0" applyNumberFormat="1" applyFont="1" applyBorder="1" applyAlignment="1">
      <alignment horizontal="right" wrapText="1"/>
    </xf>
    <xf numFmtId="4" fontId="41" fillId="0" borderId="0" xfId="0" applyNumberFormat="1" applyFont="1" applyAlignment="1">
      <alignment horizontal="right"/>
    </xf>
    <xf numFmtId="0" fontId="43" fillId="0" borderId="0" xfId="0" applyFont="1" applyAlignment="1">
      <alignment horizontal="left" vertical="center"/>
    </xf>
    <xf numFmtId="0" fontId="44" fillId="0" borderId="0" xfId="0" applyFont="1" applyAlignment="1">
      <alignment horizontal="left" vertical="center"/>
    </xf>
    <xf numFmtId="0" fontId="35" fillId="0" borderId="0" xfId="0" applyNumberFormat="1" applyFont="1" applyBorder="1" applyAlignment="1">
      <alignment horizontal="center" vertical="center"/>
    </xf>
    <xf numFmtId="0" fontId="35" fillId="0" borderId="0" xfId="0" applyFont="1" applyBorder="1" applyAlignment="1">
      <alignment horizontal="right" vertical="center"/>
    </xf>
    <xf numFmtId="4" fontId="43" fillId="0" borderId="0" xfId="0" applyNumberFormat="1" applyFont="1" applyAlignment="1">
      <alignment horizontal="left" vertical="center"/>
    </xf>
    <xf numFmtId="4" fontId="44" fillId="0" borderId="0" xfId="0" applyNumberFormat="1" applyFont="1" applyAlignment="1">
      <alignment horizontal="left" vertical="center"/>
    </xf>
    <xf numFmtId="4" fontId="45" fillId="0" borderId="0" xfId="0" applyNumberFormat="1" applyFont="1" applyAlignment="1">
      <alignment horizontal="left" vertical="center"/>
    </xf>
    <xf numFmtId="4" fontId="13" fillId="0" borderId="0" xfId="0" applyNumberFormat="1" applyFont="1" applyAlignment="1">
      <alignment horizontal="right" vertical="center"/>
    </xf>
    <xf numFmtId="4" fontId="4" fillId="0" borderId="0" xfId="0" applyNumberFormat="1" applyFont="1" applyAlignment="1">
      <alignment horizontal="left"/>
    </xf>
    <xf numFmtId="4" fontId="35" fillId="0" borderId="0" xfId="0" applyNumberFormat="1" applyFont="1" applyAlignment="1">
      <alignment horizontal="right"/>
    </xf>
    <xf numFmtId="4" fontId="46" fillId="0" borderId="0" xfId="0" applyNumberFormat="1" applyFont="1" applyBorder="1" applyAlignment="1">
      <alignment horizontal="center" vertical="center" wrapText="1"/>
    </xf>
    <xf numFmtId="4" fontId="15" fillId="0" borderId="0" xfId="0" applyNumberFormat="1" applyFont="1" applyBorder="1" applyAlignment="1">
      <alignment vertical="top" wrapText="1"/>
    </xf>
    <xf numFmtId="4" fontId="17" fillId="0" borderId="0" xfId="0" applyNumberFormat="1" applyFont="1" applyBorder="1" applyAlignment="1">
      <alignment horizontal="center" vertical="center" wrapText="1"/>
    </xf>
    <xf numFmtId="4" fontId="19" fillId="0" borderId="0" xfId="0" applyNumberFormat="1" applyFont="1"/>
    <xf numFmtId="4" fontId="15" fillId="0" borderId="0" xfId="1" applyNumberFormat="1" applyFont="1" applyBorder="1" applyAlignment="1">
      <alignment horizontal="center" vertical="center"/>
    </xf>
    <xf numFmtId="4" fontId="4" fillId="0" borderId="0" xfId="1" applyNumberFormat="1" applyFont="1" applyAlignment="1">
      <alignment vertical="top" wrapText="1"/>
    </xf>
    <xf numFmtId="4" fontId="14" fillId="0" borderId="0" xfId="0" applyNumberFormat="1" applyFont="1" applyAlignment="1">
      <alignment horizontal="center" vertical="center" wrapText="1"/>
    </xf>
    <xf numFmtId="0" fontId="35" fillId="0" borderId="1" xfId="0" applyNumberFormat="1" applyFont="1" applyBorder="1" applyAlignment="1">
      <alignment horizontal="center" vertical="center"/>
    </xf>
    <xf numFmtId="4" fontId="35" fillId="0" borderId="1" xfId="0" applyNumberFormat="1" applyFont="1" applyFill="1" applyBorder="1" applyAlignment="1">
      <alignment horizontal="left" vertical="top" wrapText="1"/>
    </xf>
    <xf numFmtId="4" fontId="41" fillId="0" borderId="1" xfId="0" applyNumberFormat="1" applyFont="1" applyBorder="1" applyAlignment="1">
      <alignment horizontal="right"/>
    </xf>
    <xf numFmtId="4" fontId="40" fillId="0" borderId="1" xfId="0" applyNumberFormat="1" applyFont="1" applyBorder="1" applyAlignment="1">
      <alignment horizontal="right"/>
    </xf>
    <xf numFmtId="4" fontId="40" fillId="0" borderId="1" xfId="0" applyNumberFormat="1" applyFont="1" applyBorder="1"/>
    <xf numFmtId="4" fontId="35" fillId="0" borderId="1" xfId="0" applyNumberFormat="1" applyFont="1" applyBorder="1" applyAlignment="1">
      <alignment horizontal="right" vertical="center"/>
    </xf>
    <xf numFmtId="4" fontId="35" fillId="0" borderId="2" xfId="1" applyNumberFormat="1" applyFont="1" applyFill="1" applyBorder="1" applyAlignment="1">
      <alignment horizontal="right" vertical="center" wrapText="1"/>
    </xf>
    <xf numFmtId="0" fontId="4" fillId="0" borderId="0" xfId="0" applyFont="1" applyBorder="1" applyAlignment="1">
      <alignment horizontal="left" vertical="top" wrapText="1"/>
    </xf>
    <xf numFmtId="0" fontId="14" fillId="0" borderId="0" xfId="0" applyFont="1" applyBorder="1" applyAlignment="1">
      <alignment horizontal="left" vertical="center"/>
    </xf>
    <xf numFmtId="4" fontId="24" fillId="0" borderId="0" xfId="0" applyNumberFormat="1" applyFont="1" applyAlignment="1">
      <alignment horizontal="right" vertical="center" wrapText="1"/>
    </xf>
    <xf numFmtId="0" fontId="10" fillId="0" borderId="0" xfId="0" applyFont="1" applyFill="1" applyAlignment="1">
      <alignment horizontal="center" vertical="center" wrapText="1"/>
    </xf>
    <xf numFmtId="0" fontId="25" fillId="0" borderId="0" xfId="2" applyNumberFormat="1" applyFont="1" applyAlignment="1">
      <alignment horizontal="center" vertical="center"/>
    </xf>
    <xf numFmtId="9" fontId="25" fillId="0" borderId="0" xfId="2" applyFont="1" applyAlignment="1">
      <alignment horizontal="center" vertical="center"/>
    </xf>
    <xf numFmtId="0" fontId="29" fillId="0" borderId="0" xfId="0" applyFont="1" applyAlignment="1">
      <alignment horizontal="center" vertical="center" wrapText="1"/>
    </xf>
    <xf numFmtId="0" fontId="10" fillId="0" borderId="0" xfId="0" applyFont="1" applyAlignment="1">
      <alignment horizontal="center" vertical="center" wrapText="1"/>
    </xf>
    <xf numFmtId="9" fontId="10" fillId="0" borderId="0" xfId="2" applyFont="1" applyAlignment="1">
      <alignment horizontal="center" vertical="center"/>
    </xf>
    <xf numFmtId="0" fontId="10" fillId="0" borderId="0" xfId="0" applyFont="1" applyFill="1" applyAlignment="1" applyProtection="1">
      <alignment horizontal="center" vertical="center" wrapText="1"/>
    </xf>
    <xf numFmtId="9" fontId="10" fillId="0" borderId="0" xfId="0" applyNumberFormat="1" applyFont="1" applyFill="1" applyAlignment="1">
      <alignment horizontal="center" vertical="center" wrapText="1"/>
    </xf>
    <xf numFmtId="0" fontId="29" fillId="0" borderId="0" xfId="0" applyFont="1" applyAlignment="1">
      <alignment vertical="center" wrapText="1"/>
    </xf>
    <xf numFmtId="0" fontId="36" fillId="0" borderId="0" xfId="0" applyFont="1" applyAlignment="1">
      <alignment vertical="center"/>
    </xf>
    <xf numFmtId="0" fontId="4" fillId="0" borderId="0" xfId="0" applyFont="1" applyAlignment="1">
      <alignment vertical="center"/>
    </xf>
    <xf numFmtId="4" fontId="10" fillId="0" borderId="0" xfId="0" applyNumberFormat="1" applyFont="1" applyFill="1" applyAlignment="1">
      <alignment vertical="center" wrapText="1"/>
    </xf>
    <xf numFmtId="4" fontId="4" fillId="0" borderId="0" xfId="1" applyNumberFormat="1" applyFont="1" applyFill="1" applyBorder="1" applyAlignment="1">
      <alignment vertical="center" wrapText="1"/>
    </xf>
    <xf numFmtId="4" fontId="10" fillId="0" borderId="0" xfId="1" applyNumberFormat="1" applyFont="1" applyFill="1" applyBorder="1" applyAlignment="1">
      <alignment horizontal="right" vertical="center" wrapText="1"/>
    </xf>
    <xf numFmtId="4" fontId="4" fillId="0" borderId="0" xfId="1" applyNumberFormat="1" applyFont="1" applyFill="1" applyAlignment="1">
      <alignment vertical="center" wrapText="1"/>
    </xf>
    <xf numFmtId="2" fontId="24" fillId="0" borderId="0" xfId="0" applyNumberFormat="1" applyFont="1" applyAlignment="1">
      <alignment horizontal="right" vertical="center"/>
    </xf>
    <xf numFmtId="165" fontId="29" fillId="0" borderId="0" xfId="1" applyNumberFormat="1" applyFont="1" applyAlignment="1">
      <alignment horizontal="right" vertical="center"/>
    </xf>
    <xf numFmtId="4" fontId="4" fillId="0" borderId="0" xfId="0" applyNumberFormat="1" applyFont="1" applyFill="1" applyAlignment="1">
      <alignment vertical="center" wrapText="1"/>
    </xf>
    <xf numFmtId="165" fontId="27" fillId="0" borderId="0" xfId="1" applyNumberFormat="1" applyFont="1" applyAlignment="1">
      <alignment vertical="center" wrapText="1"/>
    </xf>
    <xf numFmtId="165" fontId="29" fillId="0" borderId="0" xfId="1" applyNumberFormat="1" applyFont="1" applyAlignment="1">
      <alignment vertical="center"/>
    </xf>
    <xf numFmtId="4" fontId="24" fillId="0" borderId="0" xfId="0" applyNumberFormat="1" applyFont="1" applyAlignment="1">
      <alignment vertical="center" wrapText="1"/>
    </xf>
    <xf numFmtId="4" fontId="24" fillId="0" borderId="0" xfId="1" applyNumberFormat="1" applyFont="1" applyAlignment="1">
      <alignment vertical="center" wrapText="1"/>
    </xf>
    <xf numFmtId="4" fontId="27" fillId="0" borderId="0" xfId="1" applyNumberFormat="1" applyFont="1" applyAlignment="1">
      <alignment horizontal="right" vertical="center" wrapText="1"/>
    </xf>
    <xf numFmtId="4" fontId="29" fillId="0" borderId="0" xfId="1" applyNumberFormat="1" applyFont="1" applyAlignment="1">
      <alignment horizontal="right" vertical="center"/>
    </xf>
    <xf numFmtId="4" fontId="4" fillId="0" borderId="0" xfId="0" applyNumberFormat="1" applyFont="1" applyFill="1" applyAlignment="1">
      <alignment horizontal="right" vertical="center" wrapText="1"/>
    </xf>
    <xf numFmtId="4" fontId="10" fillId="0" borderId="0" xfId="1" applyNumberFormat="1" applyFont="1" applyFill="1" applyAlignment="1">
      <alignment horizontal="right" vertical="center" wrapText="1"/>
    </xf>
    <xf numFmtId="4" fontId="4" fillId="0" borderId="0" xfId="0" applyNumberFormat="1" applyFont="1" applyAlignment="1">
      <alignment horizontal="right" vertical="center" wrapText="1"/>
    </xf>
    <xf numFmtId="165" fontId="4" fillId="0" borderId="0" xfId="1" applyNumberFormat="1" applyFont="1" applyAlignment="1">
      <alignment horizontal="right" vertical="center"/>
    </xf>
    <xf numFmtId="165" fontId="10" fillId="0" borderId="0" xfId="1" applyNumberFormat="1" applyFont="1" applyAlignment="1">
      <alignment horizontal="right" vertical="center"/>
    </xf>
    <xf numFmtId="4" fontId="27" fillId="0" borderId="0" xfId="1" applyNumberFormat="1" applyFont="1" applyAlignment="1">
      <alignment horizontal="right" vertical="center"/>
    </xf>
    <xf numFmtId="4" fontId="4" fillId="0" borderId="0" xfId="1" applyNumberFormat="1" applyFont="1" applyAlignment="1">
      <alignment horizontal="right" vertical="center" wrapText="1"/>
    </xf>
    <xf numFmtId="164" fontId="4" fillId="0" borderId="0" xfId="1" applyNumberFormat="1" applyFont="1" applyAlignment="1">
      <alignment horizontal="right" vertical="center" wrapText="1"/>
    </xf>
    <xf numFmtId="164" fontId="10" fillId="0" borderId="0" xfId="1" applyNumberFormat="1" applyFont="1" applyAlignment="1">
      <alignment horizontal="right" vertical="center" wrapText="1"/>
    </xf>
    <xf numFmtId="4" fontId="4" fillId="0" borderId="0" xfId="1" applyNumberFormat="1" applyFont="1" applyFill="1" applyAlignment="1" applyProtection="1">
      <alignment horizontal="right" vertical="center" wrapText="1"/>
    </xf>
    <xf numFmtId="164" fontId="4" fillId="0" borderId="0" xfId="1" applyNumberFormat="1" applyFont="1" applyFill="1" applyAlignment="1" applyProtection="1">
      <alignment horizontal="right" vertical="center" wrapText="1"/>
    </xf>
    <xf numFmtId="4" fontId="27" fillId="0" borderId="0" xfId="0" applyNumberFormat="1" applyFont="1" applyAlignment="1">
      <alignment horizontal="right" vertical="center" wrapText="1"/>
    </xf>
    <xf numFmtId="165" fontId="27" fillId="0" borderId="0" xfId="1" applyNumberFormat="1" applyFont="1" applyAlignment="1">
      <alignment horizontal="right" vertical="center"/>
    </xf>
    <xf numFmtId="0" fontId="36" fillId="0" borderId="0" xfId="0" applyFont="1" applyAlignment="1">
      <alignment horizontal="right" vertical="center"/>
    </xf>
    <xf numFmtId="0" fontId="4" fillId="0" borderId="0" xfId="0" applyFont="1" applyAlignment="1">
      <alignment horizontal="right" vertical="center"/>
    </xf>
    <xf numFmtId="4" fontId="10" fillId="0" borderId="0" xfId="0" applyNumberFormat="1" applyFont="1" applyFill="1" applyAlignment="1">
      <alignment horizontal="right" vertical="center" wrapText="1"/>
    </xf>
    <xf numFmtId="4" fontId="4" fillId="0" borderId="0" xfId="1" applyNumberFormat="1" applyFont="1" applyFill="1" applyBorder="1" applyAlignment="1">
      <alignment horizontal="right" vertical="center" wrapText="1"/>
    </xf>
    <xf numFmtId="4" fontId="4" fillId="0" borderId="0" xfId="1" applyNumberFormat="1" applyFont="1" applyFill="1" applyAlignment="1">
      <alignment horizontal="right" vertical="center" wrapText="1"/>
    </xf>
    <xf numFmtId="165" fontId="27" fillId="0" borderId="0" xfId="1" applyNumberFormat="1" applyFont="1" applyAlignment="1">
      <alignment horizontal="right" vertical="center" wrapText="1"/>
    </xf>
    <xf numFmtId="165" fontId="25" fillId="0" borderId="0" xfId="1" applyNumberFormat="1" applyFont="1" applyAlignment="1">
      <alignment horizontal="right" vertical="center"/>
    </xf>
    <xf numFmtId="4" fontId="24" fillId="0" borderId="0" xfId="1" applyNumberFormat="1" applyFont="1" applyAlignment="1">
      <alignment horizontal="right" vertical="center" wrapText="1"/>
    </xf>
    <xf numFmtId="0" fontId="4" fillId="0" borderId="0" xfId="0" applyFont="1" applyFill="1" applyAlignment="1">
      <alignment horizontal="right" vertical="center"/>
    </xf>
    <xf numFmtId="0" fontId="36" fillId="0" borderId="0" xfId="0" applyFont="1" applyAlignment="1">
      <alignment horizontal="center" vertical="center"/>
    </xf>
    <xf numFmtId="0" fontId="29" fillId="0" borderId="0" xfId="0" applyFont="1" applyFill="1" applyAlignment="1">
      <alignment horizontal="center" vertical="center" wrapText="1"/>
    </xf>
    <xf numFmtId="0" fontId="25" fillId="0" borderId="0" xfId="0" applyNumberFormat="1" applyFont="1" applyAlignment="1">
      <alignment horizontal="center" vertical="center"/>
    </xf>
    <xf numFmtId="0" fontId="29" fillId="0" borderId="0" xfId="0" applyFont="1" applyAlignment="1">
      <alignment horizontal="center" vertical="center"/>
    </xf>
    <xf numFmtId="4" fontId="24" fillId="0" borderId="0" xfId="0" applyNumberFormat="1" applyFont="1" applyFill="1" applyAlignment="1">
      <alignment horizontal="right" vertical="center"/>
    </xf>
    <xf numFmtId="165" fontId="27" fillId="0" borderId="0" xfId="1" applyNumberFormat="1" applyFont="1" applyFill="1" applyAlignment="1">
      <alignment horizontal="right" vertical="center"/>
    </xf>
    <xf numFmtId="165" fontId="29" fillId="0" borderId="0" xfId="1" applyNumberFormat="1" applyFont="1" applyFill="1" applyAlignment="1">
      <alignment horizontal="right" vertical="center"/>
    </xf>
    <xf numFmtId="4" fontId="4" fillId="0" borderId="0" xfId="0" applyNumberFormat="1" applyFont="1" applyFill="1" applyAlignment="1">
      <alignment horizontal="right" vertical="center"/>
    </xf>
    <xf numFmtId="2" fontId="4" fillId="0" borderId="0" xfId="0" applyNumberFormat="1" applyFont="1" applyFill="1" applyAlignment="1">
      <alignment horizontal="right" vertical="center"/>
    </xf>
    <xf numFmtId="165" fontId="10" fillId="0" borderId="0" xfId="1" applyNumberFormat="1" applyFont="1" applyFill="1" applyAlignment="1">
      <alignment horizontal="right" vertical="center"/>
    </xf>
    <xf numFmtId="4" fontId="24" fillId="0" borderId="0" xfId="0" applyNumberFormat="1" applyFont="1" applyAlignment="1">
      <alignment horizontal="right" vertical="center"/>
    </xf>
    <xf numFmtId="4" fontId="27" fillId="0" borderId="0" xfId="1" applyNumberFormat="1" applyFont="1" applyAlignment="1">
      <alignment vertical="center"/>
    </xf>
    <xf numFmtId="4" fontId="10" fillId="0" borderId="0" xfId="1" applyNumberFormat="1" applyFont="1" applyAlignment="1">
      <alignment horizontal="right" vertical="center" wrapText="1"/>
    </xf>
    <xf numFmtId="4" fontId="10" fillId="0" borderId="0" xfId="1" applyNumberFormat="1" applyFont="1" applyAlignment="1">
      <alignment horizontal="right" vertical="center"/>
    </xf>
    <xf numFmtId="4" fontId="35" fillId="0" borderId="2" xfId="1" applyNumberFormat="1" applyFont="1" applyFill="1" applyBorder="1" applyAlignment="1">
      <alignment vertical="center" wrapText="1"/>
    </xf>
    <xf numFmtId="165" fontId="26" fillId="0" borderId="0" xfId="1" applyNumberFormat="1" applyFont="1" applyAlignment="1">
      <alignment horizontal="right" vertical="center" wrapText="1"/>
    </xf>
    <xf numFmtId="165" fontId="24" fillId="0" borderId="0" xfId="1" applyNumberFormat="1" applyFont="1" applyAlignment="1">
      <alignment horizontal="right" vertical="center"/>
    </xf>
    <xf numFmtId="0" fontId="4" fillId="0" borderId="0" xfId="0" applyFont="1" applyFill="1" applyAlignment="1">
      <alignment horizontal="right" vertical="center" wrapText="1"/>
    </xf>
    <xf numFmtId="4" fontId="10" fillId="0" borderId="0" xfId="1" applyNumberFormat="1" applyFont="1" applyFill="1" applyBorder="1" applyAlignment="1">
      <alignment vertical="center" wrapText="1"/>
    </xf>
    <xf numFmtId="4" fontId="24" fillId="0" borderId="0" xfId="0" applyNumberFormat="1" applyFont="1" applyFill="1" applyAlignment="1">
      <alignment vertical="center"/>
    </xf>
    <xf numFmtId="4" fontId="27" fillId="0" borderId="0" xfId="1" applyNumberFormat="1" applyFont="1" applyFill="1" applyAlignment="1">
      <alignment vertical="center"/>
    </xf>
    <xf numFmtId="165" fontId="27" fillId="0" borderId="0" xfId="1" applyNumberFormat="1" applyFont="1" applyFill="1" applyAlignment="1">
      <alignment vertical="center"/>
    </xf>
    <xf numFmtId="165" fontId="29" fillId="0" borderId="0" xfId="1" applyNumberFormat="1" applyFont="1" applyFill="1" applyAlignment="1">
      <alignment vertical="center"/>
    </xf>
    <xf numFmtId="4" fontId="4" fillId="0" borderId="0" xfId="0" applyNumberFormat="1" applyFont="1" applyFill="1" applyAlignment="1">
      <alignment vertical="center"/>
    </xf>
    <xf numFmtId="2" fontId="4" fillId="0" borderId="0" xfId="0" applyNumberFormat="1" applyFont="1" applyFill="1" applyAlignment="1">
      <alignment vertical="center"/>
    </xf>
    <xf numFmtId="165" fontId="10" fillId="0" borderId="0" xfId="1" applyNumberFormat="1" applyFont="1" applyFill="1" applyAlignment="1">
      <alignment vertical="center"/>
    </xf>
    <xf numFmtId="4" fontId="27" fillId="0" borderId="0" xfId="1" applyNumberFormat="1" applyFont="1" applyAlignment="1">
      <alignment vertical="center" wrapText="1"/>
    </xf>
    <xf numFmtId="4" fontId="29" fillId="0" borderId="0" xfId="1" applyNumberFormat="1" applyFont="1" applyAlignment="1">
      <alignment vertical="center"/>
    </xf>
    <xf numFmtId="4" fontId="24" fillId="0" borderId="0" xfId="0" applyNumberFormat="1" applyFont="1" applyAlignment="1">
      <alignment vertical="center"/>
    </xf>
    <xf numFmtId="4" fontId="10" fillId="0" borderId="0" xfId="1" applyNumberFormat="1" applyFont="1" applyFill="1" applyAlignment="1">
      <alignment vertical="center" wrapText="1"/>
    </xf>
    <xf numFmtId="4" fontId="4" fillId="0" borderId="0" xfId="1" applyNumberFormat="1" applyFont="1" applyFill="1" applyAlignment="1" applyProtection="1">
      <alignment vertical="center" wrapText="1"/>
    </xf>
    <xf numFmtId="164" fontId="4" fillId="0" borderId="0" xfId="1" applyNumberFormat="1" applyFont="1" applyFill="1" applyAlignment="1" applyProtection="1">
      <alignment vertical="center" wrapText="1"/>
    </xf>
    <xf numFmtId="0" fontId="4" fillId="0" borderId="0" xfId="0" applyFont="1" applyFill="1" applyAlignment="1">
      <alignment vertical="center"/>
    </xf>
    <xf numFmtId="0" fontId="10" fillId="0" borderId="0" xfId="0" applyFont="1" applyBorder="1" applyAlignment="1">
      <alignment horizontal="center" vertical="center" wrapText="1"/>
    </xf>
    <xf numFmtId="0" fontId="47" fillId="0" borderId="0" xfId="0" applyNumberFormat="1" applyFont="1" applyAlignment="1">
      <alignment horizontal="center" vertical="center"/>
    </xf>
    <xf numFmtId="49" fontId="10" fillId="0" borderId="0" xfId="0" applyNumberFormat="1" applyFont="1" applyFill="1" applyBorder="1" applyAlignment="1">
      <alignment horizontal="center" vertical="center" wrapText="1"/>
    </xf>
    <xf numFmtId="4" fontId="4" fillId="0" borderId="0" xfId="0" applyNumberFormat="1" applyFont="1" applyBorder="1" applyAlignment="1">
      <alignment horizontal="right" vertical="center" wrapText="1"/>
    </xf>
    <xf numFmtId="0" fontId="34" fillId="0" borderId="0" xfId="0" applyFont="1"/>
    <xf numFmtId="4" fontId="10" fillId="0" borderId="0" xfId="1" applyNumberFormat="1" applyFont="1" applyFill="1" applyBorder="1" applyAlignment="1">
      <alignment wrapText="1"/>
    </xf>
    <xf numFmtId="0" fontId="4" fillId="0" borderId="0" xfId="0" applyFont="1" applyFill="1" applyAlignment="1">
      <alignment horizontal="left" vertical="center"/>
    </xf>
    <xf numFmtId="0" fontId="10" fillId="0" borderId="0" xfId="0" applyFont="1" applyFill="1" applyAlignment="1">
      <alignment horizontal="left" vertical="center"/>
    </xf>
    <xf numFmtId="4" fontId="4" fillId="0" borderId="0" xfId="0" applyNumberFormat="1" applyFont="1" applyAlignment="1">
      <alignment vertical="center" wrapText="1"/>
    </xf>
    <xf numFmtId="0" fontId="10" fillId="0" borderId="0" xfId="0" applyNumberFormat="1" applyFont="1" applyAlignment="1">
      <alignment horizontal="center"/>
    </xf>
    <xf numFmtId="4" fontId="25" fillId="0" borderId="0" xfId="0" applyNumberFormat="1" applyFont="1" applyAlignment="1">
      <alignment horizontal="right"/>
    </xf>
    <xf numFmtId="0" fontId="10" fillId="0" borderId="0" xfId="0" applyFont="1" applyFill="1" applyAlignment="1">
      <alignment horizontal="left" vertical="top"/>
    </xf>
    <xf numFmtId="4" fontId="29" fillId="0" borderId="0" xfId="1" applyNumberFormat="1" applyFont="1" applyFill="1" applyAlignment="1">
      <alignment vertical="center"/>
    </xf>
    <xf numFmtId="0" fontId="24" fillId="0" borderId="0" xfId="0" applyFont="1" applyAlignment="1">
      <alignment horizontal="left" vertical="top" wrapText="1"/>
    </xf>
    <xf numFmtId="0" fontId="29" fillId="0" borderId="0" xfId="0" applyFont="1"/>
    <xf numFmtId="4" fontId="4" fillId="0" borderId="0" xfId="0" applyNumberFormat="1" applyFont="1" applyFill="1" applyAlignment="1">
      <alignment horizontal="center" vertical="center" wrapText="1"/>
    </xf>
    <xf numFmtId="4" fontId="4" fillId="0" borderId="0" xfId="1" applyNumberFormat="1" applyFont="1" applyFill="1" applyBorder="1" applyAlignment="1">
      <alignment horizontal="right" wrapText="1"/>
    </xf>
    <xf numFmtId="4" fontId="35" fillId="0" borderId="0" xfId="0" applyNumberFormat="1" applyFont="1" applyFill="1" applyAlignment="1">
      <alignment horizontal="center" vertical="center" wrapText="1"/>
    </xf>
    <xf numFmtId="4" fontId="41" fillId="0" borderId="0" xfId="0" applyNumberFormat="1" applyFont="1" applyAlignment="1">
      <alignment horizontal="right" vertical="center"/>
    </xf>
    <xf numFmtId="4" fontId="35" fillId="0" borderId="0" xfId="0" applyNumberFormat="1" applyFont="1" applyFill="1" applyAlignment="1">
      <alignment vertical="center" wrapText="1"/>
    </xf>
    <xf numFmtId="4" fontId="35" fillId="0" borderId="1" xfId="0" applyNumberFormat="1" applyFont="1" applyFill="1" applyBorder="1" applyAlignment="1">
      <alignment vertical="center" wrapText="1"/>
    </xf>
    <xf numFmtId="4" fontId="35" fillId="0" borderId="2" xfId="1" applyNumberFormat="1" applyFont="1" applyFill="1" applyBorder="1" applyAlignment="1">
      <alignment horizontal="center" vertical="center" wrapText="1"/>
    </xf>
    <xf numFmtId="2" fontId="24" fillId="0" borderId="0" xfId="0" applyNumberFormat="1" applyFont="1" applyAlignment="1"/>
    <xf numFmtId="0" fontId="4" fillId="0" borderId="0" xfId="0" applyFont="1" applyFill="1" applyAlignment="1">
      <alignment horizontal="left" vertical="center" wrapText="1"/>
    </xf>
    <xf numFmtId="4" fontId="40" fillId="0" borderId="1" xfId="1" applyNumberFormat="1" applyFont="1" applyBorder="1" applyAlignment="1">
      <alignment horizontal="right"/>
    </xf>
    <xf numFmtId="4" fontId="4" fillId="0" borderId="0" xfId="0" applyNumberFormat="1" applyFont="1" applyAlignment="1">
      <alignment horizontal="right"/>
    </xf>
    <xf numFmtId="4" fontId="4" fillId="0" borderId="0" xfId="0" applyNumberFormat="1" applyFont="1" applyBorder="1" applyAlignment="1">
      <alignment horizontal="right" wrapText="1"/>
    </xf>
    <xf numFmtId="4" fontId="4" fillId="0" borderId="0" xfId="0" applyNumberFormat="1" applyFont="1" applyAlignment="1">
      <alignment horizontal="right" vertical="center"/>
    </xf>
    <xf numFmtId="4" fontId="50" fillId="0" borderId="0" xfId="0" applyNumberFormat="1" applyFont="1" applyAlignment="1">
      <alignment horizontal="right"/>
    </xf>
    <xf numFmtId="4" fontId="35" fillId="0" borderId="1" xfId="0" applyNumberFormat="1" applyFont="1" applyBorder="1" applyAlignment="1">
      <alignment horizontal="center" vertical="center"/>
    </xf>
    <xf numFmtId="4" fontId="35" fillId="0" borderId="1" xfId="1" applyNumberFormat="1" applyFont="1" applyBorder="1" applyAlignment="1">
      <alignment horizontal="center" vertical="center"/>
    </xf>
    <xf numFmtId="4" fontId="42" fillId="0" borderId="1" xfId="0" applyNumberFormat="1" applyFont="1" applyBorder="1" applyAlignment="1">
      <alignment horizontal="center" vertical="center"/>
    </xf>
    <xf numFmtId="4" fontId="4" fillId="0" borderId="0" xfId="1" applyNumberFormat="1" applyFont="1" applyAlignment="1">
      <alignment vertical="center" wrapText="1"/>
    </xf>
    <xf numFmtId="4" fontId="14" fillId="0" borderId="0" xfId="1" applyNumberFormat="1" applyFont="1" applyAlignment="1">
      <alignment horizontal="right" vertical="center"/>
    </xf>
    <xf numFmtId="4" fontId="14" fillId="0" borderId="1" xfId="1" applyNumberFormat="1" applyFont="1" applyBorder="1" applyAlignment="1">
      <alignment horizontal="right" vertical="center"/>
    </xf>
    <xf numFmtId="4" fontId="14" fillId="0" borderId="0" xfId="1" applyNumberFormat="1" applyFont="1" applyBorder="1" applyAlignment="1">
      <alignment horizontal="right" vertical="center"/>
    </xf>
    <xf numFmtId="4" fontId="35" fillId="0" borderId="0" xfId="1" applyNumberFormat="1" applyFont="1" applyAlignment="1">
      <alignment horizontal="right" vertical="center"/>
    </xf>
    <xf numFmtId="4" fontId="35" fillId="0" borderId="0" xfId="1" applyNumberFormat="1" applyFont="1" applyBorder="1" applyAlignment="1">
      <alignment horizontal="right" vertical="center"/>
    </xf>
    <xf numFmtId="4" fontId="10" fillId="0" borderId="0" xfId="1" applyNumberFormat="1" applyFont="1" applyAlignment="1">
      <alignment horizontal="right" wrapText="1"/>
    </xf>
    <xf numFmtId="4" fontId="35" fillId="0" borderId="0" xfId="1" applyNumberFormat="1" applyFont="1" applyAlignment="1">
      <alignment horizontal="right"/>
    </xf>
    <xf numFmtId="4" fontId="4" fillId="0" borderId="0" xfId="0" applyNumberFormat="1" applyFont="1" applyAlignment="1">
      <alignment horizontal="right" vertical="top" wrapText="1"/>
    </xf>
    <xf numFmtId="0" fontId="35" fillId="0" borderId="0" xfId="0" applyFont="1"/>
    <xf numFmtId="0" fontId="10" fillId="0" borderId="0" xfId="5" applyFont="1" applyFill="1" applyAlignment="1">
      <alignment horizontal="center" vertical="top"/>
    </xf>
    <xf numFmtId="0" fontId="10" fillId="0" borderId="0" xfId="5" applyFont="1" applyAlignment="1">
      <alignment wrapText="1"/>
    </xf>
    <xf numFmtId="4" fontId="4" fillId="0" borderId="0" xfId="5" applyNumberFormat="1" applyFont="1" applyAlignment="1">
      <alignment horizontal="right" wrapText="1"/>
    </xf>
    <xf numFmtId="165" fontId="10" fillId="0" borderId="0" xfId="15" applyNumberFormat="1" applyFont="1" applyAlignment="1">
      <alignment horizontal="right"/>
    </xf>
    <xf numFmtId="165" fontId="4" fillId="0" borderId="0" xfId="15" applyNumberFormat="1" applyFont="1" applyAlignment="1">
      <alignment horizontal="right"/>
    </xf>
    <xf numFmtId="0" fontId="40" fillId="0" borderId="0" xfId="0" applyFont="1" applyAlignment="1">
      <alignment horizontal="center"/>
    </xf>
    <xf numFmtId="4" fontId="4" fillId="0" borderId="0" xfId="5" applyNumberFormat="1" applyFont="1" applyAlignment="1">
      <alignment vertical="top" wrapText="1"/>
    </xf>
    <xf numFmtId="0" fontId="23" fillId="0" borderId="0" xfId="0" applyFont="1" applyFill="1" applyAlignment="1">
      <alignment horizontal="center" vertical="center" wrapText="1"/>
    </xf>
    <xf numFmtId="0" fontId="10" fillId="0" borderId="0" xfId="0" applyFont="1" applyFill="1" applyAlignment="1">
      <alignment horizontal="left" vertical="center" wrapText="1"/>
    </xf>
    <xf numFmtId="2" fontId="24" fillId="0" borderId="0" xfId="0" applyNumberFormat="1" applyFont="1" applyAlignment="1">
      <alignment horizontal="right"/>
    </xf>
    <xf numFmtId="165" fontId="27" fillId="0" borderId="0" xfId="1" applyNumberFormat="1" applyFont="1" applyAlignment="1">
      <alignment horizontal="right" wrapText="1"/>
    </xf>
    <xf numFmtId="0" fontId="31" fillId="0" borderId="0" xfId="0" applyFont="1"/>
    <xf numFmtId="0" fontId="14" fillId="0" borderId="2" xfId="0" applyFont="1" applyBorder="1" applyAlignment="1">
      <alignment horizontal="left" vertical="center"/>
    </xf>
    <xf numFmtId="0" fontId="35" fillId="0" borderId="2" xfId="0" applyFont="1" applyBorder="1"/>
    <xf numFmtId="4" fontId="10" fillId="0" borderId="0" xfId="0" applyNumberFormat="1" applyFont="1" applyAlignment="1">
      <alignment horizontal="center"/>
    </xf>
    <xf numFmtId="0" fontId="32" fillId="0" borderId="0" xfId="0" applyFont="1" applyAlignment="1">
      <alignment vertical="top" wrapText="1"/>
    </xf>
    <xf numFmtId="4" fontId="24" fillId="0" borderId="0" xfId="0" applyNumberFormat="1" applyFont="1" applyFill="1" applyAlignment="1">
      <alignment vertical="center" wrapText="1"/>
    </xf>
    <xf numFmtId="4" fontId="4" fillId="0" borderId="0" xfId="0" applyNumberFormat="1" applyFont="1" applyAlignment="1"/>
    <xf numFmtId="0" fontId="70" fillId="0" borderId="0" xfId="0" applyFont="1" applyBorder="1" applyAlignment="1">
      <alignment horizontal="left" vertical="center" wrapText="1"/>
    </xf>
    <xf numFmtId="4" fontId="4" fillId="0" borderId="0" xfId="1" applyNumberFormat="1" applyFont="1" applyFill="1" applyAlignment="1">
      <alignment horizontal="right" wrapText="1"/>
    </xf>
    <xf numFmtId="4" fontId="4" fillId="0" borderId="0" xfId="1" applyNumberFormat="1" applyFont="1" applyFill="1" applyAlignment="1">
      <alignment wrapText="1"/>
    </xf>
    <xf numFmtId="4" fontId="4" fillId="0" borderId="0" xfId="1" applyNumberFormat="1" applyFont="1" applyAlignment="1">
      <alignment wrapText="1"/>
    </xf>
    <xf numFmtId="4" fontId="4" fillId="0" borderId="0" xfId="1" applyNumberFormat="1" applyFont="1" applyFill="1" applyAlignment="1" applyProtection="1">
      <alignment wrapText="1"/>
    </xf>
    <xf numFmtId="0" fontId="72" fillId="0" borderId="0" xfId="0" applyFont="1"/>
    <xf numFmtId="0" fontId="71" fillId="0" borderId="0" xfId="0" applyFont="1" applyAlignment="1">
      <alignment horizontal="left" vertical="center"/>
    </xf>
    <xf numFmtId="0" fontId="23" fillId="0" borderId="0" xfId="0" applyFont="1" applyAlignment="1">
      <alignment horizontal="left" vertical="center"/>
    </xf>
    <xf numFmtId="4" fontId="4" fillId="0" borderId="0" xfId="0" applyNumberFormat="1" applyFont="1" applyAlignment="1">
      <alignment wrapText="1"/>
    </xf>
    <xf numFmtId="4" fontId="10" fillId="0" borderId="0" xfId="0" applyNumberFormat="1" applyFont="1"/>
    <xf numFmtId="4" fontId="10" fillId="0" borderId="0" xfId="0" applyNumberFormat="1" applyFont="1" applyAlignment="1">
      <alignment horizontal="right"/>
    </xf>
    <xf numFmtId="4" fontId="4" fillId="0" borderId="0" xfId="1" applyNumberFormat="1" applyFont="1" applyAlignment="1"/>
    <xf numFmtId="4" fontId="10" fillId="0" borderId="0" xfId="1" applyNumberFormat="1" applyFont="1" applyAlignment="1"/>
    <xf numFmtId="0" fontId="71" fillId="0" borderId="0" xfId="0" applyFont="1" applyBorder="1" applyAlignment="1">
      <alignment horizontal="left" vertical="center" wrapText="1"/>
    </xf>
    <xf numFmtId="4" fontId="35" fillId="0" borderId="0" xfId="0" applyNumberFormat="1" applyFont="1" applyFill="1" applyAlignment="1">
      <alignment wrapText="1"/>
    </xf>
    <xf numFmtId="1" fontId="35" fillId="0" borderId="0" xfId="0" applyNumberFormat="1" applyFont="1" applyFill="1" applyAlignment="1">
      <alignment horizontal="center" vertical="top" wrapText="1"/>
    </xf>
    <xf numFmtId="0" fontId="73" fillId="0" borderId="0" xfId="0" applyFont="1" applyBorder="1" applyAlignment="1">
      <alignment horizontal="left" vertical="center" wrapText="1"/>
    </xf>
    <xf numFmtId="4" fontId="14" fillId="0" borderId="0" xfId="0" applyNumberFormat="1" applyFont="1" applyFill="1" applyAlignment="1">
      <alignment wrapText="1"/>
    </xf>
    <xf numFmtId="4" fontId="14" fillId="0" borderId="0" xfId="0" applyNumberFormat="1" applyFont="1" applyFill="1" applyAlignment="1">
      <alignment horizontal="left" wrapText="1"/>
    </xf>
    <xf numFmtId="4" fontId="10" fillId="0" borderId="0" xfId="0" applyNumberFormat="1" applyFont="1" applyFill="1" applyAlignment="1">
      <alignment horizontal="left" wrapText="1"/>
    </xf>
    <xf numFmtId="4" fontId="10" fillId="0" borderId="0" xfId="0" applyNumberFormat="1" applyFont="1" applyAlignment="1">
      <alignment horizontal="left" wrapText="1"/>
    </xf>
    <xf numFmtId="4" fontId="10" fillId="0" borderId="0" xfId="0" applyNumberFormat="1" applyFont="1" applyFill="1" applyAlignment="1" applyProtection="1">
      <alignment horizontal="left" wrapText="1"/>
    </xf>
    <xf numFmtId="4" fontId="10" fillId="0" borderId="0" xfId="2" applyNumberFormat="1" applyFont="1" applyAlignment="1">
      <alignment horizontal="left"/>
    </xf>
    <xf numFmtId="4" fontId="10" fillId="0" borderId="0" xfId="1" applyNumberFormat="1" applyFont="1" applyAlignment="1">
      <alignment wrapText="1"/>
    </xf>
    <xf numFmtId="4" fontId="10" fillId="0" borderId="0" xfId="0" applyNumberFormat="1" applyFont="1" applyBorder="1" applyAlignment="1">
      <alignment horizontal="center" wrapText="1"/>
    </xf>
    <xf numFmtId="4" fontId="10" fillId="0" borderId="0" xfId="0" applyNumberFormat="1" applyFont="1" applyFill="1" applyAlignment="1"/>
    <xf numFmtId="0" fontId="74" fillId="0" borderId="0" xfId="0" applyFont="1" applyAlignment="1">
      <alignment vertical="top" wrapText="1"/>
    </xf>
    <xf numFmtId="0" fontId="10" fillId="0" borderId="0" xfId="0" applyFont="1" applyFill="1" applyAlignment="1" applyProtection="1">
      <alignment horizontal="center" wrapText="1"/>
    </xf>
    <xf numFmtId="0" fontId="10" fillId="0" borderId="0" xfId="0" applyFont="1" applyAlignment="1">
      <alignment horizontal="center" wrapText="1"/>
    </xf>
    <xf numFmtId="4" fontId="35" fillId="0" borderId="0" xfId="0" applyNumberFormat="1" applyFont="1" applyFill="1" applyAlignment="1">
      <alignment horizontal="left" wrapText="1"/>
    </xf>
    <xf numFmtId="4" fontId="40" fillId="0" borderId="0" xfId="0" applyNumberFormat="1" applyFont="1" applyFill="1" applyAlignment="1">
      <alignment wrapText="1"/>
    </xf>
    <xf numFmtId="4" fontId="35" fillId="0" borderId="0" xfId="0" applyNumberFormat="1" applyFont="1" applyFill="1" applyAlignment="1"/>
    <xf numFmtId="4" fontId="40" fillId="0" borderId="0" xfId="1" applyNumberFormat="1" applyFont="1" applyFill="1" applyBorder="1" applyAlignment="1">
      <alignment wrapText="1"/>
    </xf>
    <xf numFmtId="4" fontId="35" fillId="0" borderId="0" xfId="1" applyNumberFormat="1" applyFont="1" applyFill="1" applyBorder="1" applyAlignment="1">
      <alignment wrapText="1"/>
    </xf>
    <xf numFmtId="4" fontId="15" fillId="0" borderId="0" xfId="1" applyNumberFormat="1" applyFont="1" applyFill="1" applyBorder="1" applyAlignment="1">
      <alignment wrapText="1"/>
    </xf>
    <xf numFmtId="4" fontId="14" fillId="0" borderId="2" xfId="1" applyNumberFormat="1" applyFont="1" applyFill="1" applyBorder="1" applyAlignment="1">
      <alignment horizontal="right" vertical="center" wrapText="1"/>
    </xf>
    <xf numFmtId="0" fontId="75" fillId="0" borderId="0" xfId="0" applyFont="1"/>
    <xf numFmtId="1" fontId="10" fillId="0" borderId="0" xfId="0" applyNumberFormat="1" applyFont="1" applyFill="1" applyAlignment="1">
      <alignment horizontal="center" vertical="center" wrapText="1"/>
    </xf>
    <xf numFmtId="165" fontId="40" fillId="0" borderId="0" xfId="0" applyNumberFormat="1" applyFont="1"/>
    <xf numFmtId="0" fontId="35" fillId="0" borderId="0" xfId="5" applyFont="1" applyAlignment="1">
      <alignment wrapText="1"/>
    </xf>
    <xf numFmtId="0" fontId="10" fillId="0" borderId="2" xfId="0" applyFont="1" applyFill="1" applyBorder="1" applyAlignment="1">
      <alignment horizontal="center" wrapText="1"/>
    </xf>
    <xf numFmtId="4" fontId="10" fillId="0" borderId="2" xfId="0" applyNumberFormat="1" applyFont="1" applyFill="1" applyBorder="1" applyAlignment="1">
      <alignment wrapText="1"/>
    </xf>
    <xf numFmtId="0" fontId="22" fillId="0" borderId="0" xfId="0" applyFont="1"/>
    <xf numFmtId="0" fontId="40" fillId="0" borderId="0" xfId="0" applyFont="1" applyBorder="1"/>
    <xf numFmtId="0" fontId="4" fillId="0" borderId="0" xfId="0" applyFont="1" applyBorder="1"/>
    <xf numFmtId="0" fontId="10" fillId="0" borderId="0" xfId="0" applyFont="1" applyFill="1" applyBorder="1" applyAlignment="1">
      <alignment horizontal="center" wrapText="1"/>
    </xf>
    <xf numFmtId="4" fontId="10" fillId="0" borderId="0" xfId="0" applyNumberFormat="1" applyFont="1" applyFill="1" applyBorder="1" applyAlignment="1">
      <alignment wrapText="1"/>
    </xf>
    <xf numFmtId="168" fontId="14" fillId="0" borderId="0" xfId="0" applyNumberFormat="1" applyFont="1" applyBorder="1" applyAlignment="1">
      <alignment horizontal="center" vertical="center" wrapText="1"/>
    </xf>
    <xf numFmtId="0" fontId="14" fillId="0" borderId="2" xfId="0" applyFont="1" applyBorder="1" applyAlignment="1">
      <alignment horizontal="center" vertical="center"/>
    </xf>
    <xf numFmtId="9" fontId="10" fillId="0" borderId="2" xfId="0" applyNumberFormat="1" applyFont="1" applyFill="1" applyBorder="1" applyAlignment="1">
      <alignment horizontal="center" vertical="center" wrapText="1"/>
    </xf>
    <xf numFmtId="4" fontId="4" fillId="0" borderId="2" xfId="0" applyNumberFormat="1" applyFont="1" applyFill="1" applyBorder="1" applyAlignment="1">
      <alignment horizontal="right" vertical="center" wrapText="1"/>
    </xf>
    <xf numFmtId="4" fontId="4" fillId="0" borderId="2" xfId="1" applyNumberFormat="1" applyFont="1" applyFill="1" applyBorder="1" applyAlignment="1">
      <alignment horizontal="right" vertical="center" wrapText="1"/>
    </xf>
    <xf numFmtId="0" fontId="14" fillId="0" borderId="2" xfId="0" applyFont="1" applyBorder="1" applyAlignment="1">
      <alignment horizontal="left" vertical="center" wrapText="1"/>
    </xf>
    <xf numFmtId="4" fontId="4" fillId="0" borderId="2" xfId="0" applyNumberFormat="1" applyFont="1" applyFill="1" applyBorder="1" applyAlignment="1">
      <alignment vertical="center" wrapText="1"/>
    </xf>
    <xf numFmtId="4" fontId="4" fillId="0" borderId="2" xfId="1" applyNumberFormat="1" applyFont="1" applyFill="1" applyBorder="1" applyAlignment="1">
      <alignment vertical="center" wrapText="1"/>
    </xf>
    <xf numFmtId="0" fontId="0" fillId="0" borderId="0" xfId="0" applyAlignment="1">
      <alignment horizontal="left" vertical="top"/>
    </xf>
    <xf numFmtId="0" fontId="0" fillId="0" borderId="0" xfId="0" applyBorder="1" applyAlignment="1">
      <alignment horizontal="left" vertical="top"/>
    </xf>
    <xf numFmtId="0" fontId="78" fillId="0" borderId="0" xfId="0" applyFont="1" applyBorder="1" applyAlignment="1">
      <alignment horizontal="left" vertical="top" wrapText="1"/>
    </xf>
    <xf numFmtId="0" fontId="73" fillId="0" borderId="0" xfId="0" applyFont="1" applyBorder="1" applyAlignment="1">
      <alignment horizontal="left" vertical="center"/>
    </xf>
    <xf numFmtId="0" fontId="4" fillId="0" borderId="0" xfId="0" applyFont="1" applyFill="1" applyAlignment="1">
      <alignment horizontal="left" vertical="top"/>
    </xf>
    <xf numFmtId="0" fontId="4" fillId="0" borderId="0" xfId="0" applyFont="1" applyAlignment="1">
      <alignment vertical="top"/>
    </xf>
    <xf numFmtId="0" fontId="74" fillId="0" borderId="0" xfId="0" applyFont="1" applyAlignment="1">
      <alignment vertical="top"/>
    </xf>
    <xf numFmtId="4" fontId="14" fillId="0" borderId="0" xfId="0" applyNumberFormat="1" applyFont="1" applyFill="1" applyAlignment="1"/>
    <xf numFmtId="0" fontId="78" fillId="0" borderId="0" xfId="0" applyFont="1" applyBorder="1" applyAlignment="1">
      <alignment vertical="top" wrapText="1"/>
    </xf>
    <xf numFmtId="0" fontId="77" fillId="0" borderId="0" xfId="0" applyFont="1" applyBorder="1" applyAlignment="1">
      <alignment horizontal="left" vertical="top" wrapText="1"/>
    </xf>
    <xf numFmtId="4" fontId="4" fillId="0" borderId="0" xfId="0" applyNumberFormat="1" applyFont="1" applyBorder="1" applyAlignment="1"/>
    <xf numFmtId="4" fontId="14" fillId="0" borderId="0" xfId="0" applyNumberFormat="1" applyFont="1" applyFill="1" applyBorder="1" applyAlignment="1"/>
    <xf numFmtId="0" fontId="77" fillId="0" borderId="0" xfId="0" applyFont="1" applyBorder="1" applyAlignment="1">
      <alignment vertical="top" wrapText="1"/>
    </xf>
    <xf numFmtId="0" fontId="4" fillId="0" borderId="0" xfId="0" applyFont="1" applyBorder="1" applyAlignment="1">
      <alignment vertical="top" wrapText="1"/>
    </xf>
    <xf numFmtId="0" fontId="77" fillId="0" borderId="17" xfId="0" applyFont="1" applyBorder="1" applyAlignment="1">
      <alignment horizontal="left" vertical="top" wrapText="1"/>
    </xf>
    <xf numFmtId="0" fontId="77" fillId="0" borderId="18" xfId="0" applyFont="1" applyBorder="1" applyAlignment="1">
      <alignment horizontal="center" vertical="top" wrapText="1"/>
    </xf>
    <xf numFmtId="0" fontId="77" fillId="0" borderId="18" xfId="0" applyFont="1" applyBorder="1" applyAlignment="1">
      <alignment horizontal="left" vertical="top" wrapText="1"/>
    </xf>
    <xf numFmtId="2" fontId="78" fillId="0" borderId="0" xfId="0" applyNumberFormat="1" applyFont="1" applyBorder="1" applyAlignment="1">
      <alignment vertical="top" wrapText="1"/>
    </xf>
    <xf numFmtId="2" fontId="4" fillId="0" borderId="0" xfId="0" applyNumberFormat="1" applyFont="1" applyBorder="1" applyAlignment="1">
      <alignment horizontal="left" vertical="center" wrapText="1"/>
    </xf>
    <xf numFmtId="0" fontId="4" fillId="0" borderId="17" xfId="0" applyFont="1" applyBorder="1" applyAlignment="1">
      <alignment vertical="top" wrapText="1"/>
    </xf>
    <xf numFmtId="0" fontId="4" fillId="0" borderId="20" xfId="0" applyFont="1" applyBorder="1" applyAlignment="1">
      <alignment horizontal="left" vertical="top" wrapText="1"/>
    </xf>
    <xf numFmtId="0" fontId="4" fillId="0" borderId="21" xfId="0" applyFont="1" applyBorder="1" applyAlignment="1">
      <alignment vertical="top" wrapText="1"/>
    </xf>
    <xf numFmtId="0" fontId="10" fillId="0" borderId="0" xfId="0" applyFont="1" applyBorder="1" applyAlignment="1">
      <alignment vertical="top" wrapText="1"/>
    </xf>
    <xf numFmtId="0" fontId="10" fillId="0" borderId="0" xfId="0" applyFont="1" applyBorder="1" applyAlignment="1">
      <alignment vertical="top"/>
    </xf>
    <xf numFmtId="1" fontId="35" fillId="0" borderId="2" xfId="0" applyNumberFormat="1" applyFont="1" applyFill="1" applyBorder="1" applyAlignment="1">
      <alignment horizontal="center" vertical="top" wrapText="1"/>
    </xf>
    <xf numFmtId="0" fontId="73" fillId="0" borderId="2" xfId="0" applyFont="1" applyBorder="1" applyAlignment="1">
      <alignment horizontal="left" vertical="center"/>
    </xf>
    <xf numFmtId="4" fontId="40" fillId="0" borderId="2" xfId="0" applyNumberFormat="1" applyFont="1" applyFill="1" applyBorder="1" applyAlignment="1">
      <alignment wrapText="1"/>
    </xf>
    <xf numFmtId="0" fontId="4" fillId="0" borderId="0" xfId="0" applyFont="1" applyAlignment="1">
      <alignment horizontal="left" vertical="top"/>
    </xf>
    <xf numFmtId="2" fontId="78" fillId="0" borderId="0" xfId="0" applyNumberFormat="1" applyFont="1" applyBorder="1" applyAlignment="1">
      <alignment horizontal="left" vertical="center" wrapText="1"/>
    </xf>
    <xf numFmtId="2" fontId="35" fillId="0" borderId="2" xfId="1" applyNumberFormat="1" applyFont="1" applyFill="1" applyBorder="1" applyAlignment="1">
      <alignment horizontal="left" vertical="center" wrapText="1"/>
    </xf>
    <xf numFmtId="2" fontId="35" fillId="0" borderId="0" xfId="1" applyNumberFormat="1" applyFont="1" applyFill="1" applyBorder="1" applyAlignment="1">
      <alignment horizontal="left" vertical="center" wrapText="1"/>
    </xf>
    <xf numFmtId="2" fontId="4" fillId="0" borderId="0" xfId="1" applyNumberFormat="1" applyFont="1" applyFill="1" applyBorder="1" applyAlignment="1">
      <alignment horizontal="left" vertical="center" wrapText="1"/>
    </xf>
    <xf numFmtId="2" fontId="40" fillId="0" borderId="0" xfId="1" applyNumberFormat="1" applyFont="1" applyFill="1" applyBorder="1" applyAlignment="1">
      <alignment horizontal="left" vertical="center" wrapText="1"/>
    </xf>
    <xf numFmtId="2" fontId="14" fillId="0" borderId="2" xfId="1" applyNumberFormat="1" applyFont="1" applyFill="1" applyBorder="1" applyAlignment="1">
      <alignment horizontal="left" vertical="center" wrapText="1"/>
    </xf>
    <xf numFmtId="2" fontId="14" fillId="0" borderId="0" xfId="1" applyNumberFormat="1" applyFont="1" applyFill="1" applyBorder="1" applyAlignment="1">
      <alignment horizontal="left" vertical="center" wrapText="1"/>
    </xf>
    <xf numFmtId="2" fontId="77" fillId="0" borderId="18" xfId="0" applyNumberFormat="1" applyFont="1" applyBorder="1" applyAlignment="1">
      <alignment horizontal="left" vertical="center" wrapText="1"/>
    </xf>
    <xf numFmtId="2" fontId="77" fillId="0" borderId="0" xfId="0" applyNumberFormat="1" applyFont="1" applyBorder="1" applyAlignment="1">
      <alignment horizontal="left" vertical="center" wrapText="1"/>
    </xf>
    <xf numFmtId="2" fontId="4" fillId="0" borderId="21" xfId="0" applyNumberFormat="1" applyFont="1" applyBorder="1" applyAlignment="1">
      <alignment horizontal="left" vertical="center" wrapText="1"/>
    </xf>
    <xf numFmtId="2" fontId="10" fillId="0" borderId="0" xfId="0" applyNumberFormat="1" applyFont="1" applyBorder="1" applyAlignment="1">
      <alignment horizontal="left" vertical="center" wrapText="1"/>
    </xf>
    <xf numFmtId="0" fontId="81" fillId="0" borderId="0" xfId="0" applyFont="1" applyBorder="1" applyAlignment="1">
      <alignment vertical="top" wrapText="1"/>
    </xf>
    <xf numFmtId="0" fontId="82" fillId="0" borderId="0" xfId="0" applyFont="1" applyBorder="1" applyAlignment="1">
      <alignment vertical="top" wrapText="1"/>
    </xf>
    <xf numFmtId="169" fontId="80" fillId="0" borderId="0" xfId="0" applyNumberFormat="1" applyFont="1" applyBorder="1" applyAlignment="1">
      <alignment vertical="top" wrapText="1"/>
    </xf>
    <xf numFmtId="171" fontId="79" fillId="0" borderId="0" xfId="0" applyNumberFormat="1" applyFont="1" applyBorder="1" applyAlignment="1">
      <alignment wrapText="1"/>
    </xf>
    <xf numFmtId="1" fontId="14" fillId="0" borderId="0" xfId="0" applyNumberFormat="1" applyFont="1" applyFill="1" applyAlignment="1">
      <alignment horizontal="center" vertical="top" wrapText="1"/>
    </xf>
    <xf numFmtId="0" fontId="70" fillId="0" borderId="0" xfId="0" applyFont="1" applyBorder="1" applyAlignment="1">
      <alignment horizontal="left" vertical="center"/>
    </xf>
    <xf numFmtId="1" fontId="14" fillId="0" borderId="0" xfId="0" applyNumberFormat="1" applyFont="1" applyFill="1" applyAlignment="1">
      <alignment horizontal="center" vertical="center" wrapText="1"/>
    </xf>
    <xf numFmtId="1" fontId="14" fillId="0" borderId="2" xfId="0" applyNumberFormat="1" applyFont="1" applyFill="1" applyBorder="1" applyAlignment="1">
      <alignment horizontal="center" vertical="center" wrapText="1"/>
    </xf>
    <xf numFmtId="0" fontId="70" fillId="0" borderId="2" xfId="0" applyFont="1" applyBorder="1" applyAlignment="1">
      <alignment horizontal="left" vertical="center"/>
    </xf>
    <xf numFmtId="4" fontId="15" fillId="0" borderId="2" xfId="0" applyNumberFormat="1" applyFont="1" applyFill="1" applyBorder="1" applyAlignment="1">
      <alignment wrapText="1"/>
    </xf>
    <xf numFmtId="0" fontId="4" fillId="0" borderId="3" xfId="0" applyFont="1" applyBorder="1" applyAlignment="1">
      <alignment vertical="top" wrapText="1"/>
    </xf>
    <xf numFmtId="0" fontId="4" fillId="0" borderId="3" xfId="0" applyFont="1" applyBorder="1" applyAlignment="1">
      <alignment horizontal="left" vertical="top" wrapText="1"/>
    </xf>
    <xf numFmtId="2" fontId="4" fillId="0" borderId="17" xfId="0" applyNumberFormat="1" applyFont="1" applyBorder="1" applyAlignment="1">
      <alignment horizontal="left" vertical="center" wrapText="1"/>
    </xf>
    <xf numFmtId="0" fontId="4" fillId="0" borderId="0" xfId="5" applyFont="1" applyAlignment="1">
      <alignment vertical="top" wrapText="1"/>
    </xf>
    <xf numFmtId="165" fontId="4" fillId="0" borderId="0" xfId="15" applyNumberFormat="1" applyFont="1" applyAlignment="1">
      <alignment horizontal="right" wrapText="1"/>
    </xf>
    <xf numFmtId="4" fontId="4" fillId="0" borderId="0" xfId="35" applyNumberFormat="1" applyFont="1" applyAlignment="1">
      <alignment horizontal="right" wrapText="1"/>
    </xf>
    <xf numFmtId="4" fontId="4" fillId="0" borderId="0" xfId="35" applyNumberFormat="1" applyFont="1" applyAlignment="1">
      <alignment wrapText="1"/>
    </xf>
    <xf numFmtId="4" fontId="4" fillId="0" borderId="0" xfId="5" applyNumberFormat="1" applyFont="1" applyAlignment="1">
      <alignment wrapText="1"/>
    </xf>
    <xf numFmtId="4" fontId="10" fillId="0" borderId="0" xfId="5" applyNumberFormat="1" applyFont="1" applyAlignment="1">
      <alignment wrapText="1"/>
    </xf>
    <xf numFmtId="168" fontId="40" fillId="0" borderId="0" xfId="0" applyNumberFormat="1" applyFont="1"/>
    <xf numFmtId="0" fontId="4" fillId="0" borderId="0" xfId="5" applyFont="1" applyAlignment="1">
      <alignment horizontal="left" vertical="top" wrapText="1"/>
    </xf>
    <xf numFmtId="4" fontId="4" fillId="0" borderId="0" xfId="5" applyNumberFormat="1" applyFont="1" applyAlignment="1">
      <alignment horizontal="right"/>
    </xf>
    <xf numFmtId="0" fontId="10" fillId="0" borderId="2" xfId="0" applyFont="1" applyBorder="1" applyAlignment="1">
      <alignment vertical="center"/>
    </xf>
    <xf numFmtId="165" fontId="10" fillId="0" borderId="2" xfId="0" applyNumberFormat="1" applyFont="1" applyBorder="1" applyAlignment="1">
      <alignment vertical="center"/>
    </xf>
    <xf numFmtId="0" fontId="10" fillId="0" borderId="0" xfId="50" applyFont="1" applyFill="1" applyAlignment="1">
      <alignment horizontal="center" vertical="top"/>
    </xf>
    <xf numFmtId="0" fontId="4" fillId="0" borderId="0" xfId="50" applyFont="1" applyAlignment="1">
      <alignment vertical="top" wrapText="1"/>
    </xf>
    <xf numFmtId="0" fontId="10" fillId="0" borderId="0" xfId="50" applyFont="1" applyAlignment="1">
      <alignment wrapText="1"/>
    </xf>
    <xf numFmtId="4" fontId="4" fillId="0" borderId="0" xfId="50" applyNumberFormat="1" applyFont="1" applyAlignment="1">
      <alignment horizontal="right" wrapText="1"/>
    </xf>
    <xf numFmtId="165" fontId="10" fillId="0" borderId="0" xfId="56" applyNumberFormat="1" applyFont="1" applyAlignment="1">
      <alignment horizontal="right"/>
    </xf>
    <xf numFmtId="9" fontId="10" fillId="0" borderId="0" xfId="5" applyNumberFormat="1" applyFont="1" applyAlignment="1">
      <alignment wrapText="1"/>
    </xf>
    <xf numFmtId="165" fontId="10" fillId="0" borderId="0" xfId="0" applyNumberFormat="1" applyFont="1"/>
    <xf numFmtId="165" fontId="35" fillId="0" borderId="2" xfId="0" applyNumberFormat="1" applyFont="1" applyBorder="1"/>
    <xf numFmtId="165" fontId="35" fillId="0" borderId="0" xfId="15" applyNumberFormat="1" applyFont="1" applyAlignment="1">
      <alignment horizontal="right"/>
    </xf>
    <xf numFmtId="165" fontId="35" fillId="0" borderId="0" xfId="0" applyNumberFormat="1" applyFont="1" applyBorder="1"/>
    <xf numFmtId="0" fontId="4" fillId="0" borderId="0" xfId="0" applyFont="1" applyAlignment="1">
      <alignment horizontal="left" wrapText="1"/>
    </xf>
    <xf numFmtId="2" fontId="4" fillId="0" borderId="0" xfId="0" applyNumberFormat="1" applyFont="1" applyAlignment="1">
      <alignment horizontal="left" vertical="center" wrapText="1"/>
    </xf>
    <xf numFmtId="2" fontId="4" fillId="0" borderId="0" xfId="0" applyNumberFormat="1" applyFont="1" applyAlignment="1">
      <alignment horizontal="left" vertical="center"/>
    </xf>
    <xf numFmtId="2" fontId="83" fillId="0" borderId="0" xfId="0" applyNumberFormat="1" applyFont="1" applyAlignment="1">
      <alignment horizontal="left" vertical="center"/>
    </xf>
    <xf numFmtId="2" fontId="40" fillId="0" borderId="0" xfId="0" applyNumberFormat="1" applyFont="1" applyAlignment="1">
      <alignment horizontal="left" vertical="center"/>
    </xf>
    <xf numFmtId="2" fontId="85" fillId="0" borderId="18" xfId="0" applyNumberFormat="1" applyFont="1" applyBorder="1" applyAlignment="1">
      <alignment horizontal="left" vertical="center" wrapText="1"/>
    </xf>
    <xf numFmtId="169" fontId="84" fillId="0" borderId="0" xfId="0" applyNumberFormat="1" applyFont="1" applyBorder="1" applyAlignment="1">
      <alignment horizontal="left" vertical="top" wrapText="1"/>
    </xf>
    <xf numFmtId="0" fontId="36" fillId="0" borderId="0" xfId="0" applyFont="1" applyBorder="1" applyAlignment="1">
      <alignment horizontal="left" vertical="top" wrapText="1"/>
    </xf>
    <xf numFmtId="2" fontId="36" fillId="0" borderId="0" xfId="0" applyNumberFormat="1" applyFont="1" applyBorder="1" applyAlignment="1">
      <alignment horizontal="left" vertical="center" wrapText="1"/>
    </xf>
    <xf numFmtId="170" fontId="86" fillId="0" borderId="0" xfId="0" applyNumberFormat="1" applyFont="1" applyBorder="1" applyAlignment="1">
      <alignment horizontal="left" vertical="top" wrapText="1"/>
    </xf>
    <xf numFmtId="2" fontId="86" fillId="0" borderId="0" xfId="0" applyNumberFormat="1" applyFont="1" applyBorder="1" applyAlignment="1">
      <alignment horizontal="left" vertical="center" wrapText="1"/>
    </xf>
    <xf numFmtId="2" fontId="87" fillId="0" borderId="0" xfId="0" applyNumberFormat="1" applyFont="1" applyBorder="1" applyAlignment="1">
      <alignment horizontal="left" vertical="center" wrapText="1"/>
    </xf>
    <xf numFmtId="0" fontId="49" fillId="0" borderId="0" xfId="0" applyFont="1" applyBorder="1" applyAlignment="1">
      <alignment horizontal="left" vertical="top" wrapText="1"/>
    </xf>
    <xf numFmtId="0" fontId="88" fillId="0" borderId="0" xfId="0" applyFont="1" applyBorder="1" applyAlignment="1">
      <alignment horizontal="left" vertical="top" wrapText="1"/>
    </xf>
    <xf numFmtId="2" fontId="4" fillId="0" borderId="0" xfId="0" applyNumberFormat="1" applyFont="1" applyBorder="1" applyAlignment="1">
      <alignment horizontal="left" vertical="center"/>
    </xf>
    <xf numFmtId="169" fontId="47" fillId="0" borderId="0" xfId="0" applyNumberFormat="1" applyFont="1" applyBorder="1" applyAlignment="1">
      <alignment vertical="top" wrapText="1"/>
    </xf>
    <xf numFmtId="170" fontId="86" fillId="0" borderId="0" xfId="0" applyNumberFormat="1" applyFont="1" applyBorder="1" applyAlignment="1">
      <alignment vertical="top" wrapText="1"/>
    </xf>
    <xf numFmtId="0" fontId="36" fillId="0" borderId="0" xfId="0" applyFont="1" applyBorder="1" applyAlignment="1">
      <alignment vertical="top" wrapText="1"/>
    </xf>
    <xf numFmtId="170" fontId="90" fillId="0" borderId="0" xfId="0" applyNumberFormat="1" applyFont="1" applyBorder="1" applyAlignment="1">
      <alignment horizontal="left" vertical="top" wrapText="1"/>
    </xf>
    <xf numFmtId="2" fontId="36" fillId="0" borderId="17" xfId="0" applyNumberFormat="1" applyFont="1" applyBorder="1" applyAlignment="1">
      <alignment horizontal="left" vertical="center"/>
    </xf>
    <xf numFmtId="170" fontId="26" fillId="0" borderId="0" xfId="0" applyNumberFormat="1" applyFont="1" applyBorder="1" applyAlignment="1">
      <alignment vertical="top" wrapText="1"/>
    </xf>
    <xf numFmtId="2" fontId="26" fillId="0" borderId="0" xfId="0" applyNumberFormat="1" applyFont="1" applyBorder="1" applyAlignment="1">
      <alignment horizontal="left" vertical="center" wrapText="1"/>
    </xf>
    <xf numFmtId="2" fontId="36" fillId="0" borderId="0" xfId="0" applyNumberFormat="1" applyFont="1" applyAlignment="1">
      <alignment horizontal="left" vertical="center"/>
    </xf>
    <xf numFmtId="170" fontId="91" fillId="0" borderId="0" xfId="0" applyNumberFormat="1" applyFont="1" applyBorder="1" applyAlignment="1">
      <alignment vertical="top" wrapText="1"/>
    </xf>
    <xf numFmtId="0" fontId="15" fillId="0" borderId="2" xfId="0" applyFont="1" applyBorder="1" applyAlignment="1">
      <alignment horizontal="left" vertical="center"/>
    </xf>
    <xf numFmtId="0" fontId="14" fillId="0" borderId="0" xfId="0" applyFont="1"/>
    <xf numFmtId="169" fontId="86" fillId="0" borderId="0" xfId="0" applyNumberFormat="1" applyFont="1" applyBorder="1" applyAlignment="1">
      <alignment horizontal="left" vertical="center" wrapText="1"/>
    </xf>
    <xf numFmtId="169" fontId="90" fillId="0" borderId="0" xfId="0" applyNumberFormat="1" applyFont="1" applyBorder="1" applyAlignment="1">
      <alignment horizontal="left" vertical="center" wrapText="1"/>
    </xf>
    <xf numFmtId="170" fontId="90" fillId="0" borderId="0" xfId="0" applyNumberFormat="1" applyFont="1" applyBorder="1" applyAlignment="1">
      <alignment vertical="top" wrapText="1"/>
    </xf>
    <xf numFmtId="2" fontId="36" fillId="0" borderId="0" xfId="0" applyNumberFormat="1" applyFont="1" applyBorder="1" applyAlignment="1">
      <alignment vertical="top" wrapText="1"/>
    </xf>
    <xf numFmtId="0" fontId="36" fillId="0" borderId="0" xfId="0" applyFont="1" applyBorder="1" applyAlignment="1">
      <alignment horizontal="left" vertical="center" wrapText="1"/>
    </xf>
    <xf numFmtId="169" fontId="82" fillId="0" borderId="0" xfId="0" applyNumberFormat="1" applyFont="1" applyBorder="1" applyAlignment="1">
      <alignment vertical="top" wrapText="1"/>
    </xf>
    <xf numFmtId="169" fontId="86" fillId="0" borderId="0" xfId="0" applyNumberFormat="1" applyFont="1" applyBorder="1" applyAlignment="1">
      <alignment vertical="top" wrapText="1"/>
    </xf>
    <xf numFmtId="2" fontId="86" fillId="0" borderId="0" xfId="0" applyNumberFormat="1" applyFont="1" applyBorder="1" applyAlignment="1">
      <alignment vertical="top" wrapText="1"/>
    </xf>
    <xf numFmtId="0" fontId="49" fillId="0" borderId="0" xfId="0" applyFont="1" applyBorder="1" applyAlignment="1">
      <alignment vertical="top" wrapText="1"/>
    </xf>
    <xf numFmtId="0" fontId="49" fillId="0" borderId="0" xfId="0" applyFont="1" applyAlignment="1">
      <alignment horizontal="left" vertical="top"/>
    </xf>
    <xf numFmtId="169" fontId="93" fillId="0" borderId="0" xfId="0" applyNumberFormat="1" applyFont="1" applyBorder="1" applyAlignment="1">
      <alignment horizontal="left" vertical="center" wrapText="1"/>
    </xf>
    <xf numFmtId="2" fontId="49" fillId="0" borderId="0" xfId="0" applyNumberFormat="1" applyFont="1" applyBorder="1" applyAlignment="1">
      <alignment vertical="top" wrapText="1"/>
    </xf>
    <xf numFmtId="2" fontId="36" fillId="0" borderId="18" xfId="0" applyNumberFormat="1" applyFont="1" applyBorder="1" applyAlignment="1">
      <alignment horizontal="left" vertical="center"/>
    </xf>
    <xf numFmtId="169" fontId="26" fillId="0" borderId="0" xfId="0" applyNumberFormat="1" applyFont="1" applyBorder="1" applyAlignment="1">
      <alignment vertical="top" wrapText="1"/>
    </xf>
    <xf numFmtId="0" fontId="26" fillId="0" borderId="0" xfId="0" applyFont="1" applyBorder="1" applyAlignment="1">
      <alignment vertical="top" wrapText="1"/>
    </xf>
    <xf numFmtId="2" fontId="26" fillId="0" borderId="0" xfId="0" applyNumberFormat="1" applyFont="1" applyBorder="1" applyAlignment="1">
      <alignment vertical="top" wrapText="1"/>
    </xf>
    <xf numFmtId="0" fontId="36" fillId="0" borderId="0" xfId="0" applyFont="1" applyAlignment="1">
      <alignment horizontal="left" vertical="top"/>
    </xf>
    <xf numFmtId="0" fontId="40" fillId="0" borderId="2" xfId="0" applyFont="1" applyBorder="1" applyAlignment="1">
      <alignment horizontal="left" vertical="center"/>
    </xf>
    <xf numFmtId="0" fontId="4" fillId="0" borderId="0" xfId="0" applyFont="1" applyAlignment="1">
      <alignment horizontal="left" vertical="center"/>
    </xf>
    <xf numFmtId="0" fontId="40" fillId="0" borderId="0" xfId="0" applyFont="1" applyAlignment="1">
      <alignment horizontal="left" vertical="center"/>
    </xf>
    <xf numFmtId="0" fontId="15" fillId="0" borderId="2" xfId="0" applyFont="1" applyBorder="1"/>
    <xf numFmtId="0" fontId="36" fillId="0" borderId="0" xfId="0" applyFont="1" applyAlignment="1">
      <alignment horizontal="right" vertical="center" wrapText="1"/>
    </xf>
    <xf numFmtId="0" fontId="4" fillId="0" borderId="0" xfId="3" applyFont="1" applyBorder="1" applyAlignment="1">
      <alignment vertical="top" wrapText="1"/>
    </xf>
    <xf numFmtId="0" fontId="94" fillId="0" borderId="0" xfId="0" applyFont="1" applyAlignment="1">
      <alignment horizontal="left" wrapText="1"/>
    </xf>
    <xf numFmtId="4" fontId="33" fillId="0" borderId="0" xfId="4" applyNumberFormat="1" applyFont="1" applyFill="1" applyBorder="1" applyAlignment="1" applyProtection="1">
      <alignment wrapText="1"/>
    </xf>
    <xf numFmtId="4" fontId="94" fillId="0" borderId="0" xfId="4" applyNumberFormat="1" applyFont="1" applyFill="1" applyBorder="1" applyAlignment="1" applyProtection="1">
      <alignment wrapText="1"/>
    </xf>
    <xf numFmtId="4" fontId="23" fillId="0" borderId="0" xfId="0" applyNumberFormat="1" applyFont="1" applyFill="1" applyAlignment="1">
      <alignment horizontal="right" vertical="center" wrapText="1"/>
    </xf>
    <xf numFmtId="165" fontId="95" fillId="0" borderId="0" xfId="1" applyNumberFormat="1" applyFont="1" applyAlignment="1">
      <alignment horizontal="right" vertical="center"/>
    </xf>
    <xf numFmtId="165" fontId="4" fillId="0" borderId="0" xfId="1" applyNumberFormat="1" applyFont="1" applyFill="1" applyAlignment="1">
      <alignment vertical="center"/>
    </xf>
    <xf numFmtId="165" fontId="4" fillId="0" borderId="0" xfId="1" applyNumberFormat="1" applyFont="1" applyFill="1" applyAlignment="1">
      <alignment horizontal="right" vertical="center"/>
    </xf>
    <xf numFmtId="0" fontId="36" fillId="0" borderId="0" xfId="0" applyFont="1" applyAlignment="1">
      <alignment vertical="center" wrapText="1"/>
    </xf>
    <xf numFmtId="0" fontId="96" fillId="0" borderId="0" xfId="0" applyFont="1" applyAlignment="1">
      <alignment horizontal="left" vertical="center"/>
    </xf>
    <xf numFmtId="0" fontId="97" fillId="0" borderId="0" xfId="0" applyFont="1" applyAlignment="1">
      <alignment horizontal="left" vertical="center"/>
    </xf>
    <xf numFmtId="0" fontId="98" fillId="0" borderId="0" xfId="0" applyFont="1"/>
    <xf numFmtId="0" fontId="99" fillId="0" borderId="0" xfId="0" applyFont="1"/>
    <xf numFmtId="4" fontId="98" fillId="0" borderId="0" xfId="0" applyNumberFormat="1" applyFont="1"/>
    <xf numFmtId="4" fontId="14" fillId="0" borderId="2" xfId="1" applyNumberFormat="1" applyFont="1" applyBorder="1" applyAlignment="1">
      <alignment horizontal="right" vertical="center"/>
    </xf>
    <xf numFmtId="4" fontId="70" fillId="0" borderId="0" xfId="1" applyNumberFormat="1" applyFont="1" applyAlignment="1">
      <alignment horizontal="right" vertical="center"/>
    </xf>
    <xf numFmtId="4" fontId="70" fillId="0" borderId="2" xfId="1" applyNumberFormat="1" applyFont="1" applyBorder="1" applyAlignment="1">
      <alignment horizontal="right" vertical="center"/>
    </xf>
    <xf numFmtId="4" fontId="35" fillId="0" borderId="1" xfId="1" applyNumberFormat="1" applyFont="1" applyBorder="1" applyAlignment="1">
      <alignment horizontal="right"/>
    </xf>
    <xf numFmtId="4" fontId="73" fillId="0" borderId="0" xfId="1" applyNumberFormat="1" applyFont="1" applyBorder="1" applyAlignment="1">
      <alignment horizontal="right" vertical="center"/>
    </xf>
    <xf numFmtId="165" fontId="29" fillId="0" borderId="0" xfId="1" applyNumberFormat="1" applyFont="1" applyAlignment="1">
      <alignment horizontal="right"/>
    </xf>
    <xf numFmtId="165" fontId="29" fillId="0" borderId="0" xfId="1" applyNumberFormat="1" applyFont="1" applyAlignment="1"/>
    <xf numFmtId="165" fontId="10" fillId="0" borderId="0" xfId="1" applyNumberFormat="1" applyFont="1" applyAlignment="1">
      <alignment horizontal="right"/>
    </xf>
    <xf numFmtId="4" fontId="25" fillId="0" borderId="0" xfId="0" applyNumberFormat="1" applyFont="1" applyAlignment="1">
      <alignment horizontal="right" vertical="center"/>
    </xf>
    <xf numFmtId="4" fontId="10" fillId="0" borderId="0" xfId="1" applyNumberFormat="1" applyFont="1" applyAlignment="1">
      <alignment vertical="center" wrapText="1"/>
    </xf>
    <xf numFmtId="4" fontId="10" fillId="0" borderId="0" xfId="1" applyNumberFormat="1" applyFont="1" applyAlignment="1">
      <alignment horizontal="right"/>
    </xf>
    <xf numFmtId="4" fontId="35" fillId="0" borderId="2" xfId="1" applyNumberFormat="1" applyFont="1" applyFill="1" applyBorder="1" applyAlignment="1">
      <alignment wrapText="1"/>
    </xf>
    <xf numFmtId="4" fontId="14" fillId="0" borderId="2" xfId="1" applyNumberFormat="1" applyFont="1" applyFill="1" applyBorder="1" applyAlignment="1">
      <alignment wrapText="1"/>
    </xf>
    <xf numFmtId="2" fontId="78" fillId="0" borderId="0" xfId="1" applyNumberFormat="1" applyFont="1" applyAlignment="1">
      <alignment horizontal="right"/>
    </xf>
    <xf numFmtId="2" fontId="78" fillId="0" borderId="19" xfId="1" applyNumberFormat="1" applyFont="1" applyBorder="1" applyAlignment="1">
      <alignment horizontal="right" vertical="top" wrapText="1"/>
    </xf>
    <xf numFmtId="4" fontId="78" fillId="0" borderId="0" xfId="1" applyNumberFormat="1" applyFont="1" applyBorder="1" applyAlignment="1">
      <alignment horizontal="right" vertical="top" wrapText="1"/>
    </xf>
    <xf numFmtId="4" fontId="77" fillId="0" borderId="0" xfId="1" applyNumberFormat="1" applyFont="1" applyBorder="1" applyAlignment="1">
      <alignment horizontal="right" vertical="top" wrapText="1"/>
    </xf>
    <xf numFmtId="4" fontId="78" fillId="0" borderId="0" xfId="1" applyNumberFormat="1" applyFont="1" applyBorder="1" applyAlignment="1">
      <alignment horizontal="right"/>
    </xf>
    <xf numFmtId="4" fontId="78" fillId="0" borderId="0" xfId="0" applyNumberFormat="1" applyFont="1" applyBorder="1" applyAlignment="1">
      <alignment horizontal="right" vertical="top" wrapText="1"/>
    </xf>
    <xf numFmtId="4" fontId="78" fillId="0" borderId="0" xfId="1" applyNumberFormat="1" applyFont="1" applyAlignment="1">
      <alignment horizontal="right"/>
    </xf>
    <xf numFmtId="4" fontId="78" fillId="0" borderId="19" xfId="0" applyNumberFormat="1" applyFont="1" applyBorder="1" applyAlignment="1">
      <alignment horizontal="right" vertical="top" wrapText="1"/>
    </xf>
    <xf numFmtId="4" fontId="78" fillId="0" borderId="0" xfId="0" applyNumberFormat="1" applyFont="1" applyBorder="1" applyAlignment="1">
      <alignment horizontal="right" wrapText="1"/>
    </xf>
    <xf numFmtId="4" fontId="77" fillId="0" borderId="0" xfId="0" applyNumberFormat="1" applyFont="1" applyBorder="1" applyAlignment="1">
      <alignment horizontal="right" vertical="top" wrapText="1"/>
    </xf>
    <xf numFmtId="4" fontId="77" fillId="0" borderId="2" xfId="1" applyNumberFormat="1" applyFont="1" applyFill="1" applyBorder="1" applyAlignment="1">
      <alignment horizontal="right" wrapText="1"/>
    </xf>
    <xf numFmtId="4" fontId="78" fillId="0" borderId="19" xfId="1" applyNumberFormat="1" applyFont="1" applyBorder="1" applyAlignment="1">
      <alignment horizontal="right" vertical="top" wrapText="1"/>
    </xf>
    <xf numFmtId="4" fontId="78" fillId="0" borderId="0" xfId="0" applyNumberFormat="1" applyFont="1" applyAlignment="1">
      <alignment horizontal="right" vertical="top"/>
    </xf>
    <xf numFmtId="4" fontId="77" fillId="0" borderId="2" xfId="1" applyNumberFormat="1" applyFont="1" applyFill="1" applyBorder="1" applyAlignment="1">
      <alignment horizontal="right" vertical="center" wrapText="1"/>
    </xf>
    <xf numFmtId="4" fontId="77" fillId="0" borderId="0" xfId="1" applyNumberFormat="1" applyFont="1" applyFill="1" applyBorder="1" applyAlignment="1">
      <alignment horizontal="right" wrapText="1"/>
    </xf>
    <xf numFmtId="2" fontId="86" fillId="0" borderId="0" xfId="0" applyNumberFormat="1" applyFont="1" applyBorder="1" applyAlignment="1">
      <alignment horizontal="right" wrapText="1"/>
    </xf>
    <xf numFmtId="2" fontId="78" fillId="0" borderId="0" xfId="0" applyNumberFormat="1" applyFont="1" applyBorder="1" applyAlignment="1">
      <alignment horizontal="right" wrapText="1"/>
    </xf>
    <xf numFmtId="2" fontId="36" fillId="0" borderId="0" xfId="0" applyNumberFormat="1" applyFont="1" applyBorder="1" applyAlignment="1">
      <alignment horizontal="right" wrapText="1"/>
    </xf>
    <xf numFmtId="2" fontId="91" fillId="0" borderId="0" xfId="0" applyNumberFormat="1" applyFont="1" applyBorder="1" applyAlignment="1">
      <alignment horizontal="right" wrapText="1"/>
    </xf>
    <xf numFmtId="169" fontId="86" fillId="0" borderId="0" xfId="0" applyNumberFormat="1" applyFont="1" applyBorder="1" applyAlignment="1">
      <alignment horizontal="right" wrapText="1"/>
    </xf>
    <xf numFmtId="0" fontId="0" fillId="0" borderId="0" xfId="0" applyAlignment="1">
      <alignment horizontal="right"/>
    </xf>
  </cellXfs>
  <cellStyles count="58">
    <cellStyle name="Accent1 2" xfId="6"/>
    <cellStyle name="Accent2 2" xfId="7"/>
    <cellStyle name="Accent3 2" xfId="8"/>
    <cellStyle name="Accent4 2" xfId="9"/>
    <cellStyle name="Accent5 2" xfId="10"/>
    <cellStyle name="Accent6 2" xfId="11"/>
    <cellStyle name="Bad 2" xfId="12"/>
    <cellStyle name="Calculation 2" xfId="13"/>
    <cellStyle name="Check Cell 2" xfId="14"/>
    <cellStyle name="Comma" xfId="1" builtinId="3"/>
    <cellStyle name="Comma 2" xfId="15"/>
    <cellStyle name="Comma 3" xfId="56"/>
    <cellStyle name="Comma0" xfId="16"/>
    <cellStyle name="Comma0 2" xfId="55"/>
    <cellStyle name="Currency0" xfId="17"/>
    <cellStyle name="Currency0 2" xfId="54"/>
    <cellStyle name="Date" xfId="18"/>
    <cellStyle name="Date 2" xfId="51"/>
    <cellStyle name="Excel_BuiltIn_Comma" xfId="4"/>
    <cellStyle name="Explanatory Text 2" xfId="19"/>
    <cellStyle name="Fixed" xfId="20"/>
    <cellStyle name="Fixed 2" xfId="52"/>
    <cellStyle name="Heading 1 2" xfId="21"/>
    <cellStyle name="Heading 2 2" xfId="22"/>
    <cellStyle name="Heading 3 2" xfId="23"/>
    <cellStyle name="Heading 4 2" xfId="24"/>
    <cellStyle name="Input 2" xfId="25"/>
    <cellStyle name="Linked Cell 2" xfId="26"/>
    <cellStyle name="Naslov 1" xfId="27"/>
    <cellStyle name="Naslov 2" xfId="28"/>
    <cellStyle name="Naslov 3" xfId="29"/>
    <cellStyle name="Naslov 4" xfId="30"/>
    <cellStyle name="Navadno 2" xfId="57"/>
    <cellStyle name="Neutral 2" xfId="31"/>
    <cellStyle name="Nevtralno" xfId="32"/>
    <cellStyle name="Normal" xfId="0" builtinId="0"/>
    <cellStyle name="Normal 2" xfId="5"/>
    <cellStyle name="Normal 3" xfId="50"/>
    <cellStyle name="Note 2" xfId="33"/>
    <cellStyle name="Opomba" xfId="34"/>
    <cellStyle name="Percent" xfId="2" builtinId="5"/>
    <cellStyle name="Percent 2" xfId="35"/>
    <cellStyle name="Percent 3" xfId="53"/>
    <cellStyle name="Pojasnjevalno besedilo" xfId="36"/>
    <cellStyle name="popis" xfId="3"/>
    <cellStyle name="Poudarek1" xfId="37"/>
    <cellStyle name="Poudarek2" xfId="38"/>
    <cellStyle name="Poudarek3" xfId="39"/>
    <cellStyle name="Poudarek4" xfId="40"/>
    <cellStyle name="Poudarek5" xfId="41"/>
    <cellStyle name="Poudarek6" xfId="42"/>
    <cellStyle name="Povezana celica" xfId="43"/>
    <cellStyle name="Preveri celico" xfId="44"/>
    <cellStyle name="Računanje" xfId="45"/>
    <cellStyle name="Slabo" xfId="46"/>
    <cellStyle name="Total 2" xfId="47"/>
    <cellStyle name="Vnos" xfId="48"/>
    <cellStyle name="Vsota" xfId="49"/>
  </cellStyles>
  <dxfs count="15">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colors>
    <mruColors>
      <color rgb="FF336600"/>
      <color rgb="FF99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2"/>
  <sheetViews>
    <sheetView workbookViewId="0">
      <selection activeCell="D21" sqref="D21"/>
    </sheetView>
  </sheetViews>
  <sheetFormatPr defaultRowHeight="15.75"/>
  <cols>
    <col min="1" max="1" width="4.85546875" style="1" customWidth="1"/>
    <col min="2" max="2" width="14.7109375" style="1" customWidth="1"/>
    <col min="3" max="3" width="3.140625" style="1" customWidth="1"/>
    <col min="4" max="4" width="10.7109375" style="1" customWidth="1"/>
    <col min="5" max="9" width="7.85546875" style="1" customWidth="1"/>
    <col min="10" max="256" width="9.140625" style="4"/>
    <col min="257" max="257" width="10.85546875" style="4" customWidth="1"/>
    <col min="258" max="258" width="7.85546875" style="4" customWidth="1"/>
    <col min="259" max="259" width="18.42578125" style="4" customWidth="1"/>
    <col min="260" max="260" width="8.140625" style="4" bestFit="1" customWidth="1"/>
    <col min="261" max="265" width="7.85546875" style="4" customWidth="1"/>
    <col min="266" max="512" width="9.140625" style="4"/>
    <col min="513" max="513" width="10.85546875" style="4" customWidth="1"/>
    <col min="514" max="514" width="7.85546875" style="4" customWidth="1"/>
    <col min="515" max="515" width="18.42578125" style="4" customWidth="1"/>
    <col min="516" max="516" width="8.140625" style="4" bestFit="1" customWidth="1"/>
    <col min="517" max="521" width="7.85546875" style="4" customWidth="1"/>
    <col min="522" max="768" width="9.140625" style="4"/>
    <col min="769" max="769" width="10.85546875" style="4" customWidth="1"/>
    <col min="770" max="770" width="7.85546875" style="4" customWidth="1"/>
    <col min="771" max="771" width="18.42578125" style="4" customWidth="1"/>
    <col min="772" max="772" width="8.140625" style="4" bestFit="1" customWidth="1"/>
    <col min="773" max="777" width="7.85546875" style="4" customWidth="1"/>
    <col min="778" max="1024" width="9.140625" style="4"/>
    <col min="1025" max="1025" width="10.85546875" style="4" customWidth="1"/>
    <col min="1026" max="1026" width="7.85546875" style="4" customWidth="1"/>
    <col min="1027" max="1027" width="18.42578125" style="4" customWidth="1"/>
    <col min="1028" max="1028" width="8.140625" style="4" bestFit="1" customWidth="1"/>
    <col min="1029" max="1033" width="7.85546875" style="4" customWidth="1"/>
    <col min="1034" max="1280" width="9.140625" style="4"/>
    <col min="1281" max="1281" width="10.85546875" style="4" customWidth="1"/>
    <col min="1282" max="1282" width="7.85546875" style="4" customWidth="1"/>
    <col min="1283" max="1283" width="18.42578125" style="4" customWidth="1"/>
    <col min="1284" max="1284" width="8.140625" style="4" bestFit="1" customWidth="1"/>
    <col min="1285" max="1289" width="7.85546875" style="4" customWidth="1"/>
    <col min="1290" max="1536" width="9.140625" style="4"/>
    <col min="1537" max="1537" width="10.85546875" style="4" customWidth="1"/>
    <col min="1538" max="1538" width="7.85546875" style="4" customWidth="1"/>
    <col min="1539" max="1539" width="18.42578125" style="4" customWidth="1"/>
    <col min="1540" max="1540" width="8.140625" style="4" bestFit="1" customWidth="1"/>
    <col min="1541" max="1545" width="7.85546875" style="4" customWidth="1"/>
    <col min="1546" max="1792" width="9.140625" style="4"/>
    <col min="1793" max="1793" width="10.85546875" style="4" customWidth="1"/>
    <col min="1794" max="1794" width="7.85546875" style="4" customWidth="1"/>
    <col min="1795" max="1795" width="18.42578125" style="4" customWidth="1"/>
    <col min="1796" max="1796" width="8.140625" style="4" bestFit="1" customWidth="1"/>
    <col min="1797" max="1801" width="7.85546875" style="4" customWidth="1"/>
    <col min="1802" max="2048" width="9.140625" style="4"/>
    <col min="2049" max="2049" width="10.85546875" style="4" customWidth="1"/>
    <col min="2050" max="2050" width="7.85546875" style="4" customWidth="1"/>
    <col min="2051" max="2051" width="18.42578125" style="4" customWidth="1"/>
    <col min="2052" max="2052" width="8.140625" style="4" bestFit="1" customWidth="1"/>
    <col min="2053" max="2057" width="7.85546875" style="4" customWidth="1"/>
    <col min="2058" max="2304" width="9.140625" style="4"/>
    <col min="2305" max="2305" width="10.85546875" style="4" customWidth="1"/>
    <col min="2306" max="2306" width="7.85546875" style="4" customWidth="1"/>
    <col min="2307" max="2307" width="18.42578125" style="4" customWidth="1"/>
    <col min="2308" max="2308" width="8.140625" style="4" bestFit="1" customWidth="1"/>
    <col min="2309" max="2313" width="7.85546875" style="4" customWidth="1"/>
    <col min="2314" max="2560" width="9.140625" style="4"/>
    <col min="2561" max="2561" width="10.85546875" style="4" customWidth="1"/>
    <col min="2562" max="2562" width="7.85546875" style="4" customWidth="1"/>
    <col min="2563" max="2563" width="18.42578125" style="4" customWidth="1"/>
    <col min="2564" max="2564" width="8.140625" style="4" bestFit="1" customWidth="1"/>
    <col min="2565" max="2569" width="7.85546875" style="4" customWidth="1"/>
    <col min="2570" max="2816" width="9.140625" style="4"/>
    <col min="2817" max="2817" width="10.85546875" style="4" customWidth="1"/>
    <col min="2818" max="2818" width="7.85546875" style="4" customWidth="1"/>
    <col min="2819" max="2819" width="18.42578125" style="4" customWidth="1"/>
    <col min="2820" max="2820" width="8.140625" style="4" bestFit="1" customWidth="1"/>
    <col min="2821" max="2825" width="7.85546875" style="4" customWidth="1"/>
    <col min="2826" max="3072" width="9.140625" style="4"/>
    <col min="3073" max="3073" width="10.85546875" style="4" customWidth="1"/>
    <col min="3074" max="3074" width="7.85546875" style="4" customWidth="1"/>
    <col min="3075" max="3075" width="18.42578125" style="4" customWidth="1"/>
    <col min="3076" max="3076" width="8.140625" style="4" bestFit="1" customWidth="1"/>
    <col min="3077" max="3081" width="7.85546875" style="4" customWidth="1"/>
    <col min="3082" max="3328" width="9.140625" style="4"/>
    <col min="3329" max="3329" width="10.85546875" style="4" customWidth="1"/>
    <col min="3330" max="3330" width="7.85546875" style="4" customWidth="1"/>
    <col min="3331" max="3331" width="18.42578125" style="4" customWidth="1"/>
    <col min="3332" max="3332" width="8.140625" style="4" bestFit="1" customWidth="1"/>
    <col min="3333" max="3337" width="7.85546875" style="4" customWidth="1"/>
    <col min="3338" max="3584" width="9.140625" style="4"/>
    <col min="3585" max="3585" width="10.85546875" style="4" customWidth="1"/>
    <col min="3586" max="3586" width="7.85546875" style="4" customWidth="1"/>
    <col min="3587" max="3587" width="18.42578125" style="4" customWidth="1"/>
    <col min="3588" max="3588" width="8.140625" style="4" bestFit="1" customWidth="1"/>
    <col min="3589" max="3593" width="7.85546875" style="4" customWidth="1"/>
    <col min="3594" max="3840" width="9.140625" style="4"/>
    <col min="3841" max="3841" width="10.85546875" style="4" customWidth="1"/>
    <col min="3842" max="3842" width="7.85546875" style="4" customWidth="1"/>
    <col min="3843" max="3843" width="18.42578125" style="4" customWidth="1"/>
    <col min="3844" max="3844" width="8.140625" style="4" bestFit="1" customWidth="1"/>
    <col min="3845" max="3849" width="7.85546875" style="4" customWidth="1"/>
    <col min="3850" max="4096" width="9.140625" style="4"/>
    <col min="4097" max="4097" width="10.85546875" style="4" customWidth="1"/>
    <col min="4098" max="4098" width="7.85546875" style="4" customWidth="1"/>
    <col min="4099" max="4099" width="18.42578125" style="4" customWidth="1"/>
    <col min="4100" max="4100" width="8.140625" style="4" bestFit="1" customWidth="1"/>
    <col min="4101" max="4105" width="7.85546875" style="4" customWidth="1"/>
    <col min="4106" max="4352" width="9.140625" style="4"/>
    <col min="4353" max="4353" width="10.85546875" style="4" customWidth="1"/>
    <col min="4354" max="4354" width="7.85546875" style="4" customWidth="1"/>
    <col min="4355" max="4355" width="18.42578125" style="4" customWidth="1"/>
    <col min="4356" max="4356" width="8.140625" style="4" bestFit="1" customWidth="1"/>
    <col min="4357" max="4361" width="7.85546875" style="4" customWidth="1"/>
    <col min="4362" max="4608" width="9.140625" style="4"/>
    <col min="4609" max="4609" width="10.85546875" style="4" customWidth="1"/>
    <col min="4610" max="4610" width="7.85546875" style="4" customWidth="1"/>
    <col min="4611" max="4611" width="18.42578125" style="4" customWidth="1"/>
    <col min="4612" max="4612" width="8.140625" style="4" bestFit="1" customWidth="1"/>
    <col min="4613" max="4617" width="7.85546875" style="4" customWidth="1"/>
    <col min="4618" max="4864" width="9.140625" style="4"/>
    <col min="4865" max="4865" width="10.85546875" style="4" customWidth="1"/>
    <col min="4866" max="4866" width="7.85546875" style="4" customWidth="1"/>
    <col min="4867" max="4867" width="18.42578125" style="4" customWidth="1"/>
    <col min="4868" max="4868" width="8.140625" style="4" bestFit="1" customWidth="1"/>
    <col min="4869" max="4873" width="7.85546875" style="4" customWidth="1"/>
    <col min="4874" max="5120" width="9.140625" style="4"/>
    <col min="5121" max="5121" width="10.85546875" style="4" customWidth="1"/>
    <col min="5122" max="5122" width="7.85546875" style="4" customWidth="1"/>
    <col min="5123" max="5123" width="18.42578125" style="4" customWidth="1"/>
    <col min="5124" max="5124" width="8.140625" style="4" bestFit="1" customWidth="1"/>
    <col min="5125" max="5129" width="7.85546875" style="4" customWidth="1"/>
    <col min="5130" max="5376" width="9.140625" style="4"/>
    <col min="5377" max="5377" width="10.85546875" style="4" customWidth="1"/>
    <col min="5378" max="5378" width="7.85546875" style="4" customWidth="1"/>
    <col min="5379" max="5379" width="18.42578125" style="4" customWidth="1"/>
    <col min="5380" max="5380" width="8.140625" style="4" bestFit="1" customWidth="1"/>
    <col min="5381" max="5385" width="7.85546875" style="4" customWidth="1"/>
    <col min="5386" max="5632" width="9.140625" style="4"/>
    <col min="5633" max="5633" width="10.85546875" style="4" customWidth="1"/>
    <col min="5634" max="5634" width="7.85546875" style="4" customWidth="1"/>
    <col min="5635" max="5635" width="18.42578125" style="4" customWidth="1"/>
    <col min="5636" max="5636" width="8.140625" style="4" bestFit="1" customWidth="1"/>
    <col min="5637" max="5641" width="7.85546875" style="4" customWidth="1"/>
    <col min="5642" max="5888" width="9.140625" style="4"/>
    <col min="5889" max="5889" width="10.85546875" style="4" customWidth="1"/>
    <col min="5890" max="5890" width="7.85546875" style="4" customWidth="1"/>
    <col min="5891" max="5891" width="18.42578125" style="4" customWidth="1"/>
    <col min="5892" max="5892" width="8.140625" style="4" bestFit="1" customWidth="1"/>
    <col min="5893" max="5897" width="7.85546875" style="4" customWidth="1"/>
    <col min="5898" max="6144" width="9.140625" style="4"/>
    <col min="6145" max="6145" width="10.85546875" style="4" customWidth="1"/>
    <col min="6146" max="6146" width="7.85546875" style="4" customWidth="1"/>
    <col min="6147" max="6147" width="18.42578125" style="4" customWidth="1"/>
    <col min="6148" max="6148" width="8.140625" style="4" bestFit="1" customWidth="1"/>
    <col min="6149" max="6153" width="7.85546875" style="4" customWidth="1"/>
    <col min="6154" max="6400" width="9.140625" style="4"/>
    <col min="6401" max="6401" width="10.85546875" style="4" customWidth="1"/>
    <col min="6402" max="6402" width="7.85546875" style="4" customWidth="1"/>
    <col min="6403" max="6403" width="18.42578125" style="4" customWidth="1"/>
    <col min="6404" max="6404" width="8.140625" style="4" bestFit="1" customWidth="1"/>
    <col min="6405" max="6409" width="7.85546875" style="4" customWidth="1"/>
    <col min="6410" max="6656" width="9.140625" style="4"/>
    <col min="6657" max="6657" width="10.85546875" style="4" customWidth="1"/>
    <col min="6658" max="6658" width="7.85546875" style="4" customWidth="1"/>
    <col min="6659" max="6659" width="18.42578125" style="4" customWidth="1"/>
    <col min="6660" max="6660" width="8.140625" style="4" bestFit="1" customWidth="1"/>
    <col min="6661" max="6665" width="7.85546875" style="4" customWidth="1"/>
    <col min="6666" max="6912" width="9.140625" style="4"/>
    <col min="6913" max="6913" width="10.85546875" style="4" customWidth="1"/>
    <col min="6914" max="6914" width="7.85546875" style="4" customWidth="1"/>
    <col min="6915" max="6915" width="18.42578125" style="4" customWidth="1"/>
    <col min="6916" max="6916" width="8.140625" style="4" bestFit="1" customWidth="1"/>
    <col min="6917" max="6921" width="7.85546875" style="4" customWidth="1"/>
    <col min="6922" max="7168" width="9.140625" style="4"/>
    <col min="7169" max="7169" width="10.85546875" style="4" customWidth="1"/>
    <col min="7170" max="7170" width="7.85546875" style="4" customWidth="1"/>
    <col min="7171" max="7171" width="18.42578125" style="4" customWidth="1"/>
    <col min="7172" max="7172" width="8.140625" style="4" bestFit="1" customWidth="1"/>
    <col min="7173" max="7177" width="7.85546875" style="4" customWidth="1"/>
    <col min="7178" max="7424" width="9.140625" style="4"/>
    <col min="7425" max="7425" width="10.85546875" style="4" customWidth="1"/>
    <col min="7426" max="7426" width="7.85546875" style="4" customWidth="1"/>
    <col min="7427" max="7427" width="18.42578125" style="4" customWidth="1"/>
    <col min="7428" max="7428" width="8.140625" style="4" bestFit="1" customWidth="1"/>
    <col min="7429" max="7433" width="7.85546875" style="4" customWidth="1"/>
    <col min="7434" max="7680" width="9.140625" style="4"/>
    <col min="7681" max="7681" width="10.85546875" style="4" customWidth="1"/>
    <col min="7682" max="7682" width="7.85546875" style="4" customWidth="1"/>
    <col min="7683" max="7683" width="18.42578125" style="4" customWidth="1"/>
    <col min="7684" max="7684" width="8.140625" style="4" bestFit="1" customWidth="1"/>
    <col min="7685" max="7689" width="7.85546875" style="4" customWidth="1"/>
    <col min="7690" max="7936" width="9.140625" style="4"/>
    <col min="7937" max="7937" width="10.85546875" style="4" customWidth="1"/>
    <col min="7938" max="7938" width="7.85546875" style="4" customWidth="1"/>
    <col min="7939" max="7939" width="18.42578125" style="4" customWidth="1"/>
    <col min="7940" max="7940" width="8.140625" style="4" bestFit="1" customWidth="1"/>
    <col min="7941" max="7945" width="7.85546875" style="4" customWidth="1"/>
    <col min="7946" max="8192" width="9.140625" style="4"/>
    <col min="8193" max="8193" width="10.85546875" style="4" customWidth="1"/>
    <col min="8194" max="8194" width="7.85546875" style="4" customWidth="1"/>
    <col min="8195" max="8195" width="18.42578125" style="4" customWidth="1"/>
    <col min="8196" max="8196" width="8.140625" style="4" bestFit="1" customWidth="1"/>
    <col min="8197" max="8201" width="7.85546875" style="4" customWidth="1"/>
    <col min="8202" max="8448" width="9.140625" style="4"/>
    <col min="8449" max="8449" width="10.85546875" style="4" customWidth="1"/>
    <col min="8450" max="8450" width="7.85546875" style="4" customWidth="1"/>
    <col min="8451" max="8451" width="18.42578125" style="4" customWidth="1"/>
    <col min="8452" max="8452" width="8.140625" style="4" bestFit="1" customWidth="1"/>
    <col min="8453" max="8457" width="7.85546875" style="4" customWidth="1"/>
    <col min="8458" max="8704" width="9.140625" style="4"/>
    <col min="8705" max="8705" width="10.85546875" style="4" customWidth="1"/>
    <col min="8706" max="8706" width="7.85546875" style="4" customWidth="1"/>
    <col min="8707" max="8707" width="18.42578125" style="4" customWidth="1"/>
    <col min="8708" max="8708" width="8.140625" style="4" bestFit="1" customWidth="1"/>
    <col min="8709" max="8713" width="7.85546875" style="4" customWidth="1"/>
    <col min="8714" max="8960" width="9.140625" style="4"/>
    <col min="8961" max="8961" width="10.85546875" style="4" customWidth="1"/>
    <col min="8962" max="8962" width="7.85546875" style="4" customWidth="1"/>
    <col min="8963" max="8963" width="18.42578125" style="4" customWidth="1"/>
    <col min="8964" max="8964" width="8.140625" style="4" bestFit="1" customWidth="1"/>
    <col min="8965" max="8969" width="7.85546875" style="4" customWidth="1"/>
    <col min="8970" max="9216" width="9.140625" style="4"/>
    <col min="9217" max="9217" width="10.85546875" style="4" customWidth="1"/>
    <col min="9218" max="9218" width="7.85546875" style="4" customWidth="1"/>
    <col min="9219" max="9219" width="18.42578125" style="4" customWidth="1"/>
    <col min="9220" max="9220" width="8.140625" style="4" bestFit="1" customWidth="1"/>
    <col min="9221" max="9225" width="7.85546875" style="4" customWidth="1"/>
    <col min="9226" max="9472" width="9.140625" style="4"/>
    <col min="9473" max="9473" width="10.85546875" style="4" customWidth="1"/>
    <col min="9474" max="9474" width="7.85546875" style="4" customWidth="1"/>
    <col min="9475" max="9475" width="18.42578125" style="4" customWidth="1"/>
    <col min="9476" max="9476" width="8.140625" style="4" bestFit="1" customWidth="1"/>
    <col min="9477" max="9481" width="7.85546875" style="4" customWidth="1"/>
    <col min="9482" max="9728" width="9.140625" style="4"/>
    <col min="9729" max="9729" width="10.85546875" style="4" customWidth="1"/>
    <col min="9730" max="9730" width="7.85546875" style="4" customWidth="1"/>
    <col min="9731" max="9731" width="18.42578125" style="4" customWidth="1"/>
    <col min="9732" max="9732" width="8.140625" style="4" bestFit="1" customWidth="1"/>
    <col min="9733" max="9737" width="7.85546875" style="4" customWidth="1"/>
    <col min="9738" max="9984" width="9.140625" style="4"/>
    <col min="9985" max="9985" width="10.85546875" style="4" customWidth="1"/>
    <col min="9986" max="9986" width="7.85546875" style="4" customWidth="1"/>
    <col min="9987" max="9987" width="18.42578125" style="4" customWidth="1"/>
    <col min="9988" max="9988" width="8.140625" style="4" bestFit="1" customWidth="1"/>
    <col min="9989" max="9993" width="7.85546875" style="4" customWidth="1"/>
    <col min="9994" max="10240" width="9.140625" style="4"/>
    <col min="10241" max="10241" width="10.85546875" style="4" customWidth="1"/>
    <col min="10242" max="10242" width="7.85546875" style="4" customWidth="1"/>
    <col min="10243" max="10243" width="18.42578125" style="4" customWidth="1"/>
    <col min="10244" max="10244" width="8.140625" style="4" bestFit="1" customWidth="1"/>
    <col min="10245" max="10249" width="7.85546875" style="4" customWidth="1"/>
    <col min="10250" max="10496" width="9.140625" style="4"/>
    <col min="10497" max="10497" width="10.85546875" style="4" customWidth="1"/>
    <col min="10498" max="10498" width="7.85546875" style="4" customWidth="1"/>
    <col min="10499" max="10499" width="18.42578125" style="4" customWidth="1"/>
    <col min="10500" max="10500" width="8.140625" style="4" bestFit="1" customWidth="1"/>
    <col min="10501" max="10505" width="7.85546875" style="4" customWidth="1"/>
    <col min="10506" max="10752" width="9.140625" style="4"/>
    <col min="10753" max="10753" width="10.85546875" style="4" customWidth="1"/>
    <col min="10754" max="10754" width="7.85546875" style="4" customWidth="1"/>
    <col min="10755" max="10755" width="18.42578125" style="4" customWidth="1"/>
    <col min="10756" max="10756" width="8.140625" style="4" bestFit="1" customWidth="1"/>
    <col min="10757" max="10761" width="7.85546875" style="4" customWidth="1"/>
    <col min="10762" max="11008" width="9.140625" style="4"/>
    <col min="11009" max="11009" width="10.85546875" style="4" customWidth="1"/>
    <col min="11010" max="11010" width="7.85546875" style="4" customWidth="1"/>
    <col min="11011" max="11011" width="18.42578125" style="4" customWidth="1"/>
    <col min="11012" max="11012" width="8.140625" style="4" bestFit="1" customWidth="1"/>
    <col min="11013" max="11017" width="7.85546875" style="4" customWidth="1"/>
    <col min="11018" max="11264" width="9.140625" style="4"/>
    <col min="11265" max="11265" width="10.85546875" style="4" customWidth="1"/>
    <col min="11266" max="11266" width="7.85546875" style="4" customWidth="1"/>
    <col min="11267" max="11267" width="18.42578125" style="4" customWidth="1"/>
    <col min="11268" max="11268" width="8.140625" style="4" bestFit="1" customWidth="1"/>
    <col min="11269" max="11273" width="7.85546875" style="4" customWidth="1"/>
    <col min="11274" max="11520" width="9.140625" style="4"/>
    <col min="11521" max="11521" width="10.85546875" style="4" customWidth="1"/>
    <col min="11522" max="11522" width="7.85546875" style="4" customWidth="1"/>
    <col min="11523" max="11523" width="18.42578125" style="4" customWidth="1"/>
    <col min="11524" max="11524" width="8.140625" style="4" bestFit="1" customWidth="1"/>
    <col min="11525" max="11529" width="7.85546875" style="4" customWidth="1"/>
    <col min="11530" max="11776" width="9.140625" style="4"/>
    <col min="11777" max="11777" width="10.85546875" style="4" customWidth="1"/>
    <col min="11778" max="11778" width="7.85546875" style="4" customWidth="1"/>
    <col min="11779" max="11779" width="18.42578125" style="4" customWidth="1"/>
    <col min="11780" max="11780" width="8.140625" style="4" bestFit="1" customWidth="1"/>
    <col min="11781" max="11785" width="7.85546875" style="4" customWidth="1"/>
    <col min="11786" max="12032" width="9.140625" style="4"/>
    <col min="12033" max="12033" width="10.85546875" style="4" customWidth="1"/>
    <col min="12034" max="12034" width="7.85546875" style="4" customWidth="1"/>
    <col min="12035" max="12035" width="18.42578125" style="4" customWidth="1"/>
    <col min="12036" max="12036" width="8.140625" style="4" bestFit="1" customWidth="1"/>
    <col min="12037" max="12041" width="7.85546875" style="4" customWidth="1"/>
    <col min="12042" max="12288" width="9.140625" style="4"/>
    <col min="12289" max="12289" width="10.85546875" style="4" customWidth="1"/>
    <col min="12290" max="12290" width="7.85546875" style="4" customWidth="1"/>
    <col min="12291" max="12291" width="18.42578125" style="4" customWidth="1"/>
    <col min="12292" max="12292" width="8.140625" style="4" bestFit="1" customWidth="1"/>
    <col min="12293" max="12297" width="7.85546875" style="4" customWidth="1"/>
    <col min="12298" max="12544" width="9.140625" style="4"/>
    <col min="12545" max="12545" width="10.85546875" style="4" customWidth="1"/>
    <col min="12546" max="12546" width="7.85546875" style="4" customWidth="1"/>
    <col min="12547" max="12547" width="18.42578125" style="4" customWidth="1"/>
    <col min="12548" max="12548" width="8.140625" style="4" bestFit="1" customWidth="1"/>
    <col min="12549" max="12553" width="7.85546875" style="4" customWidth="1"/>
    <col min="12554" max="12800" width="9.140625" style="4"/>
    <col min="12801" max="12801" width="10.85546875" style="4" customWidth="1"/>
    <col min="12802" max="12802" width="7.85546875" style="4" customWidth="1"/>
    <col min="12803" max="12803" width="18.42578125" style="4" customWidth="1"/>
    <col min="12804" max="12804" width="8.140625" style="4" bestFit="1" customWidth="1"/>
    <col min="12805" max="12809" width="7.85546875" style="4" customWidth="1"/>
    <col min="12810" max="13056" width="9.140625" style="4"/>
    <col min="13057" max="13057" width="10.85546875" style="4" customWidth="1"/>
    <col min="13058" max="13058" width="7.85546875" style="4" customWidth="1"/>
    <col min="13059" max="13059" width="18.42578125" style="4" customWidth="1"/>
    <col min="13060" max="13060" width="8.140625" style="4" bestFit="1" customWidth="1"/>
    <col min="13061" max="13065" width="7.85546875" style="4" customWidth="1"/>
    <col min="13066" max="13312" width="9.140625" style="4"/>
    <col min="13313" max="13313" width="10.85546875" style="4" customWidth="1"/>
    <col min="13314" max="13314" width="7.85546875" style="4" customWidth="1"/>
    <col min="13315" max="13315" width="18.42578125" style="4" customWidth="1"/>
    <col min="13316" max="13316" width="8.140625" style="4" bestFit="1" customWidth="1"/>
    <col min="13317" max="13321" width="7.85546875" style="4" customWidth="1"/>
    <col min="13322" max="13568" width="9.140625" style="4"/>
    <col min="13569" max="13569" width="10.85546875" style="4" customWidth="1"/>
    <col min="13570" max="13570" width="7.85546875" style="4" customWidth="1"/>
    <col min="13571" max="13571" width="18.42578125" style="4" customWidth="1"/>
    <col min="13572" max="13572" width="8.140625" style="4" bestFit="1" customWidth="1"/>
    <col min="13573" max="13577" width="7.85546875" style="4" customWidth="1"/>
    <col min="13578" max="13824" width="9.140625" style="4"/>
    <col min="13825" max="13825" width="10.85546875" style="4" customWidth="1"/>
    <col min="13826" max="13826" width="7.85546875" style="4" customWidth="1"/>
    <col min="13827" max="13827" width="18.42578125" style="4" customWidth="1"/>
    <col min="13828" max="13828" width="8.140625" style="4" bestFit="1" customWidth="1"/>
    <col min="13829" max="13833" width="7.85546875" style="4" customWidth="1"/>
    <col min="13834" max="14080" width="9.140625" style="4"/>
    <col min="14081" max="14081" width="10.85546875" style="4" customWidth="1"/>
    <col min="14082" max="14082" width="7.85546875" style="4" customWidth="1"/>
    <col min="14083" max="14083" width="18.42578125" style="4" customWidth="1"/>
    <col min="14084" max="14084" width="8.140625" style="4" bestFit="1" customWidth="1"/>
    <col min="14085" max="14089" width="7.85546875" style="4" customWidth="1"/>
    <col min="14090" max="14336" width="9.140625" style="4"/>
    <col min="14337" max="14337" width="10.85546875" style="4" customWidth="1"/>
    <col min="14338" max="14338" width="7.85546875" style="4" customWidth="1"/>
    <col min="14339" max="14339" width="18.42578125" style="4" customWidth="1"/>
    <col min="14340" max="14340" width="8.140625" style="4" bestFit="1" customWidth="1"/>
    <col min="14341" max="14345" width="7.85546875" style="4" customWidth="1"/>
    <col min="14346" max="14592" width="9.140625" style="4"/>
    <col min="14593" max="14593" width="10.85546875" style="4" customWidth="1"/>
    <col min="14594" max="14594" width="7.85546875" style="4" customWidth="1"/>
    <col min="14595" max="14595" width="18.42578125" style="4" customWidth="1"/>
    <col min="14596" max="14596" width="8.140625" style="4" bestFit="1" customWidth="1"/>
    <col min="14597" max="14601" width="7.85546875" style="4" customWidth="1"/>
    <col min="14602" max="14848" width="9.140625" style="4"/>
    <col min="14849" max="14849" width="10.85546875" style="4" customWidth="1"/>
    <col min="14850" max="14850" width="7.85546875" style="4" customWidth="1"/>
    <col min="14851" max="14851" width="18.42578125" style="4" customWidth="1"/>
    <col min="14852" max="14852" width="8.140625" style="4" bestFit="1" customWidth="1"/>
    <col min="14853" max="14857" width="7.85546875" style="4" customWidth="1"/>
    <col min="14858" max="15104" width="9.140625" style="4"/>
    <col min="15105" max="15105" width="10.85546875" style="4" customWidth="1"/>
    <col min="15106" max="15106" width="7.85546875" style="4" customWidth="1"/>
    <col min="15107" max="15107" width="18.42578125" style="4" customWidth="1"/>
    <col min="15108" max="15108" width="8.140625" style="4" bestFit="1" customWidth="1"/>
    <col min="15109" max="15113" width="7.85546875" style="4" customWidth="1"/>
    <col min="15114" max="15360" width="9.140625" style="4"/>
    <col min="15361" max="15361" width="10.85546875" style="4" customWidth="1"/>
    <col min="15362" max="15362" width="7.85546875" style="4" customWidth="1"/>
    <col min="15363" max="15363" width="18.42578125" style="4" customWidth="1"/>
    <col min="15364" max="15364" width="8.140625" style="4" bestFit="1" customWidth="1"/>
    <col min="15365" max="15369" width="7.85546875" style="4" customWidth="1"/>
    <col min="15370" max="15616" width="9.140625" style="4"/>
    <col min="15617" max="15617" width="10.85546875" style="4" customWidth="1"/>
    <col min="15618" max="15618" width="7.85546875" style="4" customWidth="1"/>
    <col min="15619" max="15619" width="18.42578125" style="4" customWidth="1"/>
    <col min="15620" max="15620" width="8.140625" style="4" bestFit="1" customWidth="1"/>
    <col min="15621" max="15625" width="7.85546875" style="4" customWidth="1"/>
    <col min="15626" max="15872" width="9.140625" style="4"/>
    <col min="15873" max="15873" width="10.85546875" style="4" customWidth="1"/>
    <col min="15874" max="15874" width="7.85546875" style="4" customWidth="1"/>
    <col min="15875" max="15875" width="18.42578125" style="4" customWidth="1"/>
    <col min="15876" max="15876" width="8.140625" style="4" bestFit="1" customWidth="1"/>
    <col min="15877" max="15881" width="7.85546875" style="4" customWidth="1"/>
    <col min="15882" max="16128" width="9.140625" style="4"/>
    <col min="16129" max="16129" width="10.85546875" style="4" customWidth="1"/>
    <col min="16130" max="16130" width="7.85546875" style="4" customWidth="1"/>
    <col min="16131" max="16131" width="18.42578125" style="4" customWidth="1"/>
    <col min="16132" max="16132" width="8.140625" style="4" bestFit="1" customWidth="1"/>
    <col min="16133" max="16137" width="7.85546875" style="4" customWidth="1"/>
    <col min="16138" max="16384" width="9.140625" style="4"/>
  </cols>
  <sheetData>
    <row r="2" spans="2:8">
      <c r="B2" s="2" t="s">
        <v>0</v>
      </c>
      <c r="C2" s="3"/>
      <c r="D2" s="3"/>
      <c r="E2" s="3"/>
    </row>
    <row r="3" spans="2:8">
      <c r="B3" s="2" t="s">
        <v>1</v>
      </c>
      <c r="C3" s="3"/>
      <c r="D3" s="3"/>
      <c r="E3" s="3"/>
    </row>
    <row r="4" spans="2:8">
      <c r="B4" s="2" t="s">
        <v>2</v>
      </c>
      <c r="C4" s="3"/>
      <c r="D4" s="3"/>
      <c r="E4" s="3"/>
    </row>
    <row r="5" spans="2:8">
      <c r="B5" s="2" t="s">
        <v>3</v>
      </c>
      <c r="C5" s="3"/>
      <c r="D5" s="3"/>
      <c r="E5" s="3"/>
    </row>
    <row r="10" spans="2:8" ht="18">
      <c r="B10" s="3" t="s">
        <v>4</v>
      </c>
      <c r="D10" s="5" t="s">
        <v>25</v>
      </c>
    </row>
    <row r="11" spans="2:8" ht="18">
      <c r="D11" s="6" t="s">
        <v>26</v>
      </c>
    </row>
    <row r="12" spans="2:8" ht="18">
      <c r="D12" s="7" t="s">
        <v>3</v>
      </c>
    </row>
    <row r="15" spans="2:8" customFormat="1" ht="18">
      <c r="B15" s="1" t="s">
        <v>473</v>
      </c>
      <c r="C15" s="1"/>
      <c r="D15" s="6" t="s">
        <v>474</v>
      </c>
      <c r="E15" s="1"/>
      <c r="F15" s="1"/>
      <c r="G15" s="1"/>
      <c r="H15" s="1"/>
    </row>
    <row r="16" spans="2:8" customFormat="1" ht="18">
      <c r="B16" s="1"/>
      <c r="C16" s="1"/>
      <c r="D16" s="6" t="s">
        <v>475</v>
      </c>
      <c r="E16" s="1"/>
      <c r="F16" s="1"/>
      <c r="G16" s="1"/>
      <c r="H16" s="1"/>
    </row>
    <row r="19" spans="2:8" ht="18">
      <c r="B19" s="3" t="s">
        <v>5</v>
      </c>
      <c r="D19" s="6" t="s">
        <v>476</v>
      </c>
      <c r="E19" s="3"/>
      <c r="F19" s="3"/>
      <c r="G19" s="3"/>
      <c r="H19" s="3"/>
    </row>
    <row r="20" spans="2:8" ht="18">
      <c r="D20" s="6" t="s">
        <v>477</v>
      </c>
      <c r="E20" s="6"/>
      <c r="F20" s="80"/>
      <c r="G20" s="3"/>
      <c r="H20" s="3"/>
    </row>
    <row r="21" spans="2:8" ht="18">
      <c r="D21" s="6" t="s">
        <v>478</v>
      </c>
      <c r="E21" s="5"/>
      <c r="F21" s="3"/>
      <c r="G21" s="3"/>
      <c r="H21" s="3"/>
    </row>
    <row r="22" spans="2:8" ht="18">
      <c r="D22" s="8"/>
      <c r="E22" s="8"/>
    </row>
    <row r="23" spans="2:8" ht="18">
      <c r="D23" s="8"/>
    </row>
    <row r="24" spans="2:8" ht="18">
      <c r="D24" s="8"/>
    </row>
    <row r="25" spans="2:8" ht="20.25">
      <c r="B25" s="3" t="s">
        <v>6</v>
      </c>
      <c r="D25" s="9" t="s">
        <v>194</v>
      </c>
      <c r="E25" s="3"/>
      <c r="F25" s="3"/>
      <c r="G25" s="3"/>
    </row>
    <row r="26" spans="2:8" ht="20.25">
      <c r="D26" s="9"/>
      <c r="E26" s="3"/>
      <c r="F26" s="3"/>
      <c r="G26" s="3"/>
    </row>
    <row r="27" spans="2:8" ht="20.25">
      <c r="D27" s="10"/>
    </row>
    <row r="30" spans="2:8" ht="20.25">
      <c r="B30" s="3" t="s">
        <v>7</v>
      </c>
      <c r="D30" s="9" t="s">
        <v>193</v>
      </c>
    </row>
    <row r="31" spans="2:8">
      <c r="D31" s="11"/>
    </row>
    <row r="35" spans="2:9" ht="20.25">
      <c r="B35" s="3" t="s">
        <v>8</v>
      </c>
      <c r="C35" s="12"/>
      <c r="D35" s="13">
        <v>44044</v>
      </c>
      <c r="E35" s="14"/>
    </row>
    <row r="36" spans="2:9" ht="20.25">
      <c r="C36" s="12"/>
      <c r="D36" s="15"/>
      <c r="E36" s="14"/>
    </row>
    <row r="37" spans="2:9" ht="20.25">
      <c r="C37" s="12"/>
      <c r="D37" s="15"/>
      <c r="E37" s="14"/>
    </row>
    <row r="40" spans="2:9">
      <c r="B40" s="3"/>
      <c r="G40" s="1" t="s">
        <v>261</v>
      </c>
    </row>
    <row r="41" spans="2:9">
      <c r="B41" s="3"/>
      <c r="G41" s="3" t="s">
        <v>260</v>
      </c>
      <c r="H41" s="3"/>
      <c r="I41" s="3"/>
    </row>
    <row r="42" spans="2:9">
      <c r="B42" s="3"/>
      <c r="G42" s="3" t="s">
        <v>479</v>
      </c>
      <c r="H42" s="3"/>
      <c r="I42" s="3"/>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G112"/>
  <sheetViews>
    <sheetView showZeros="0" topLeftCell="A86" workbookViewId="0">
      <selection activeCell="G103" sqref="G103"/>
    </sheetView>
  </sheetViews>
  <sheetFormatPr defaultRowHeight="12.75" customHeight="1"/>
  <cols>
    <col min="1" max="1" width="4.7109375" style="79" customWidth="1"/>
    <col min="2" max="2" width="30.7109375" style="79" customWidth="1"/>
    <col min="3" max="3" width="4.7109375" style="177" customWidth="1"/>
    <col min="4" max="4" width="13.7109375" style="168" customWidth="1"/>
    <col min="5" max="6" width="12.7109375" style="168" customWidth="1"/>
    <col min="7" max="7" width="12.7109375" style="169" customWidth="1"/>
    <col min="241" max="241" width="4.7109375" customWidth="1"/>
    <col min="242" max="242" width="30.7109375" customWidth="1"/>
    <col min="243" max="243" width="4.7109375" customWidth="1"/>
    <col min="244" max="244" width="13.7109375" customWidth="1"/>
    <col min="245" max="247" width="12.7109375" customWidth="1"/>
    <col min="249" max="249" width="21" customWidth="1"/>
    <col min="250" max="250" width="36.5703125" customWidth="1"/>
    <col min="497" max="497" width="4.7109375" customWidth="1"/>
    <col min="498" max="498" width="30.7109375" customWidth="1"/>
    <col min="499" max="499" width="4.7109375" customWidth="1"/>
    <col min="500" max="500" width="13.7109375" customWidth="1"/>
    <col min="501" max="503" width="12.7109375" customWidth="1"/>
    <col min="505" max="505" width="21" customWidth="1"/>
    <col min="506" max="506" width="36.5703125" customWidth="1"/>
    <col min="753" max="753" width="4.7109375" customWidth="1"/>
    <col min="754" max="754" width="30.7109375" customWidth="1"/>
    <col min="755" max="755" width="4.7109375" customWidth="1"/>
    <col min="756" max="756" width="13.7109375" customWidth="1"/>
    <col min="757" max="759" width="12.7109375" customWidth="1"/>
    <col min="761" max="761" width="21" customWidth="1"/>
    <col min="762" max="762" width="36.5703125" customWidth="1"/>
    <col min="1009" max="1009" width="4.7109375" customWidth="1"/>
    <col min="1010" max="1010" width="30.7109375" customWidth="1"/>
    <col min="1011" max="1011" width="4.7109375" customWidth="1"/>
    <col min="1012" max="1012" width="13.7109375" customWidth="1"/>
    <col min="1013" max="1015" width="12.7109375" customWidth="1"/>
    <col min="1017" max="1017" width="21" customWidth="1"/>
    <col min="1018" max="1018" width="36.5703125" customWidth="1"/>
    <col min="1265" max="1265" width="4.7109375" customWidth="1"/>
    <col min="1266" max="1266" width="30.7109375" customWidth="1"/>
    <col min="1267" max="1267" width="4.7109375" customWidth="1"/>
    <col min="1268" max="1268" width="13.7109375" customWidth="1"/>
    <col min="1269" max="1271" width="12.7109375" customWidth="1"/>
    <col min="1273" max="1273" width="21" customWidth="1"/>
    <col min="1274" max="1274" width="36.5703125" customWidth="1"/>
    <col min="1521" max="1521" width="4.7109375" customWidth="1"/>
    <col min="1522" max="1522" width="30.7109375" customWidth="1"/>
    <col min="1523" max="1523" width="4.7109375" customWidth="1"/>
    <col min="1524" max="1524" width="13.7109375" customWidth="1"/>
    <col min="1525" max="1527" width="12.7109375" customWidth="1"/>
    <col min="1529" max="1529" width="21" customWidth="1"/>
    <col min="1530" max="1530" width="36.5703125" customWidth="1"/>
    <col min="1777" max="1777" width="4.7109375" customWidth="1"/>
    <col min="1778" max="1778" width="30.7109375" customWidth="1"/>
    <col min="1779" max="1779" width="4.7109375" customWidth="1"/>
    <col min="1780" max="1780" width="13.7109375" customWidth="1"/>
    <col min="1781" max="1783" width="12.7109375" customWidth="1"/>
    <col min="1785" max="1785" width="21" customWidth="1"/>
    <col min="1786" max="1786" width="36.5703125" customWidth="1"/>
    <col min="2033" max="2033" width="4.7109375" customWidth="1"/>
    <col min="2034" max="2034" width="30.7109375" customWidth="1"/>
    <col min="2035" max="2035" width="4.7109375" customWidth="1"/>
    <col min="2036" max="2036" width="13.7109375" customWidth="1"/>
    <col min="2037" max="2039" width="12.7109375" customWidth="1"/>
    <col min="2041" max="2041" width="21" customWidth="1"/>
    <col min="2042" max="2042" width="36.5703125" customWidth="1"/>
    <col min="2289" max="2289" width="4.7109375" customWidth="1"/>
    <col min="2290" max="2290" width="30.7109375" customWidth="1"/>
    <col min="2291" max="2291" width="4.7109375" customWidth="1"/>
    <col min="2292" max="2292" width="13.7109375" customWidth="1"/>
    <col min="2293" max="2295" width="12.7109375" customWidth="1"/>
    <col min="2297" max="2297" width="21" customWidth="1"/>
    <col min="2298" max="2298" width="36.5703125" customWidth="1"/>
    <col min="2545" max="2545" width="4.7109375" customWidth="1"/>
    <col min="2546" max="2546" width="30.7109375" customWidth="1"/>
    <col min="2547" max="2547" width="4.7109375" customWidth="1"/>
    <col min="2548" max="2548" width="13.7109375" customWidth="1"/>
    <col min="2549" max="2551" width="12.7109375" customWidth="1"/>
    <col min="2553" max="2553" width="21" customWidth="1"/>
    <col min="2554" max="2554" width="36.5703125" customWidth="1"/>
    <col min="2801" max="2801" width="4.7109375" customWidth="1"/>
    <col min="2802" max="2802" width="30.7109375" customWidth="1"/>
    <col min="2803" max="2803" width="4.7109375" customWidth="1"/>
    <col min="2804" max="2804" width="13.7109375" customWidth="1"/>
    <col min="2805" max="2807" width="12.7109375" customWidth="1"/>
    <col min="2809" max="2809" width="21" customWidth="1"/>
    <col min="2810" max="2810" width="36.5703125" customWidth="1"/>
    <col min="3057" max="3057" width="4.7109375" customWidth="1"/>
    <col min="3058" max="3058" width="30.7109375" customWidth="1"/>
    <col min="3059" max="3059" width="4.7109375" customWidth="1"/>
    <col min="3060" max="3060" width="13.7109375" customWidth="1"/>
    <col min="3061" max="3063" width="12.7109375" customWidth="1"/>
    <col min="3065" max="3065" width="21" customWidth="1"/>
    <col min="3066" max="3066" width="36.5703125" customWidth="1"/>
    <col min="3313" max="3313" width="4.7109375" customWidth="1"/>
    <col min="3314" max="3314" width="30.7109375" customWidth="1"/>
    <col min="3315" max="3315" width="4.7109375" customWidth="1"/>
    <col min="3316" max="3316" width="13.7109375" customWidth="1"/>
    <col min="3317" max="3319" width="12.7109375" customWidth="1"/>
    <col min="3321" max="3321" width="21" customWidth="1"/>
    <col min="3322" max="3322" width="36.5703125" customWidth="1"/>
    <col min="3569" max="3569" width="4.7109375" customWidth="1"/>
    <col min="3570" max="3570" width="30.7109375" customWidth="1"/>
    <col min="3571" max="3571" width="4.7109375" customWidth="1"/>
    <col min="3572" max="3572" width="13.7109375" customWidth="1"/>
    <col min="3573" max="3575" width="12.7109375" customWidth="1"/>
    <col min="3577" max="3577" width="21" customWidth="1"/>
    <col min="3578" max="3578" width="36.5703125" customWidth="1"/>
    <col min="3825" max="3825" width="4.7109375" customWidth="1"/>
    <col min="3826" max="3826" width="30.7109375" customWidth="1"/>
    <col min="3827" max="3827" width="4.7109375" customWidth="1"/>
    <col min="3828" max="3828" width="13.7109375" customWidth="1"/>
    <col min="3829" max="3831" width="12.7109375" customWidth="1"/>
    <col min="3833" max="3833" width="21" customWidth="1"/>
    <col min="3834" max="3834" width="36.5703125" customWidth="1"/>
    <col min="4081" max="4081" width="4.7109375" customWidth="1"/>
    <col min="4082" max="4082" width="30.7109375" customWidth="1"/>
    <col min="4083" max="4083" width="4.7109375" customWidth="1"/>
    <col min="4084" max="4084" width="13.7109375" customWidth="1"/>
    <col min="4085" max="4087" width="12.7109375" customWidth="1"/>
    <col min="4089" max="4089" width="21" customWidth="1"/>
    <col min="4090" max="4090" width="36.5703125" customWidth="1"/>
    <col min="4337" max="4337" width="4.7109375" customWidth="1"/>
    <col min="4338" max="4338" width="30.7109375" customWidth="1"/>
    <col min="4339" max="4339" width="4.7109375" customWidth="1"/>
    <col min="4340" max="4340" width="13.7109375" customWidth="1"/>
    <col min="4341" max="4343" width="12.7109375" customWidth="1"/>
    <col min="4345" max="4345" width="21" customWidth="1"/>
    <col min="4346" max="4346" width="36.5703125" customWidth="1"/>
    <col min="4593" max="4593" width="4.7109375" customWidth="1"/>
    <col min="4594" max="4594" width="30.7109375" customWidth="1"/>
    <col min="4595" max="4595" width="4.7109375" customWidth="1"/>
    <col min="4596" max="4596" width="13.7109375" customWidth="1"/>
    <col min="4597" max="4599" width="12.7109375" customWidth="1"/>
    <col min="4601" max="4601" width="21" customWidth="1"/>
    <col min="4602" max="4602" width="36.5703125" customWidth="1"/>
    <col min="4849" max="4849" width="4.7109375" customWidth="1"/>
    <col min="4850" max="4850" width="30.7109375" customWidth="1"/>
    <col min="4851" max="4851" width="4.7109375" customWidth="1"/>
    <col min="4852" max="4852" width="13.7109375" customWidth="1"/>
    <col min="4853" max="4855" width="12.7109375" customWidth="1"/>
    <col min="4857" max="4857" width="21" customWidth="1"/>
    <col min="4858" max="4858" width="36.5703125" customWidth="1"/>
    <col min="5105" max="5105" width="4.7109375" customWidth="1"/>
    <col min="5106" max="5106" width="30.7109375" customWidth="1"/>
    <col min="5107" max="5107" width="4.7109375" customWidth="1"/>
    <col min="5108" max="5108" width="13.7109375" customWidth="1"/>
    <col min="5109" max="5111" width="12.7109375" customWidth="1"/>
    <col min="5113" max="5113" width="21" customWidth="1"/>
    <col min="5114" max="5114" width="36.5703125" customWidth="1"/>
    <col min="5361" max="5361" width="4.7109375" customWidth="1"/>
    <col min="5362" max="5362" width="30.7109375" customWidth="1"/>
    <col min="5363" max="5363" width="4.7109375" customWidth="1"/>
    <col min="5364" max="5364" width="13.7109375" customWidth="1"/>
    <col min="5365" max="5367" width="12.7109375" customWidth="1"/>
    <col min="5369" max="5369" width="21" customWidth="1"/>
    <col min="5370" max="5370" width="36.5703125" customWidth="1"/>
    <col min="5617" max="5617" width="4.7109375" customWidth="1"/>
    <col min="5618" max="5618" width="30.7109375" customWidth="1"/>
    <col min="5619" max="5619" width="4.7109375" customWidth="1"/>
    <col min="5620" max="5620" width="13.7109375" customWidth="1"/>
    <col min="5621" max="5623" width="12.7109375" customWidth="1"/>
    <col min="5625" max="5625" width="21" customWidth="1"/>
    <col min="5626" max="5626" width="36.5703125" customWidth="1"/>
    <col min="5873" max="5873" width="4.7109375" customWidth="1"/>
    <col min="5874" max="5874" width="30.7109375" customWidth="1"/>
    <col min="5875" max="5875" width="4.7109375" customWidth="1"/>
    <col min="5876" max="5876" width="13.7109375" customWidth="1"/>
    <col min="5877" max="5879" width="12.7109375" customWidth="1"/>
    <col min="5881" max="5881" width="21" customWidth="1"/>
    <col min="5882" max="5882" width="36.5703125" customWidth="1"/>
    <col min="6129" max="6129" width="4.7109375" customWidth="1"/>
    <col min="6130" max="6130" width="30.7109375" customWidth="1"/>
    <col min="6131" max="6131" width="4.7109375" customWidth="1"/>
    <col min="6132" max="6132" width="13.7109375" customWidth="1"/>
    <col min="6133" max="6135" width="12.7109375" customWidth="1"/>
    <col min="6137" max="6137" width="21" customWidth="1"/>
    <col min="6138" max="6138" width="36.5703125" customWidth="1"/>
    <col min="6385" max="6385" width="4.7109375" customWidth="1"/>
    <col min="6386" max="6386" width="30.7109375" customWidth="1"/>
    <col min="6387" max="6387" width="4.7109375" customWidth="1"/>
    <col min="6388" max="6388" width="13.7109375" customWidth="1"/>
    <col min="6389" max="6391" width="12.7109375" customWidth="1"/>
    <col min="6393" max="6393" width="21" customWidth="1"/>
    <col min="6394" max="6394" width="36.5703125" customWidth="1"/>
    <col min="6641" max="6641" width="4.7109375" customWidth="1"/>
    <col min="6642" max="6642" width="30.7109375" customWidth="1"/>
    <col min="6643" max="6643" width="4.7109375" customWidth="1"/>
    <col min="6644" max="6644" width="13.7109375" customWidth="1"/>
    <col min="6645" max="6647" width="12.7109375" customWidth="1"/>
    <col min="6649" max="6649" width="21" customWidth="1"/>
    <col min="6650" max="6650" width="36.5703125" customWidth="1"/>
    <col min="6897" max="6897" width="4.7109375" customWidth="1"/>
    <col min="6898" max="6898" width="30.7109375" customWidth="1"/>
    <col min="6899" max="6899" width="4.7109375" customWidth="1"/>
    <col min="6900" max="6900" width="13.7109375" customWidth="1"/>
    <col min="6901" max="6903" width="12.7109375" customWidth="1"/>
    <col min="6905" max="6905" width="21" customWidth="1"/>
    <col min="6906" max="6906" width="36.5703125" customWidth="1"/>
    <col min="7153" max="7153" width="4.7109375" customWidth="1"/>
    <col min="7154" max="7154" width="30.7109375" customWidth="1"/>
    <col min="7155" max="7155" width="4.7109375" customWidth="1"/>
    <col min="7156" max="7156" width="13.7109375" customWidth="1"/>
    <col min="7157" max="7159" width="12.7109375" customWidth="1"/>
    <col min="7161" max="7161" width="21" customWidth="1"/>
    <col min="7162" max="7162" width="36.5703125" customWidth="1"/>
    <col min="7409" max="7409" width="4.7109375" customWidth="1"/>
    <col min="7410" max="7410" width="30.7109375" customWidth="1"/>
    <col min="7411" max="7411" width="4.7109375" customWidth="1"/>
    <col min="7412" max="7412" width="13.7109375" customWidth="1"/>
    <col min="7413" max="7415" width="12.7109375" customWidth="1"/>
    <col min="7417" max="7417" width="21" customWidth="1"/>
    <col min="7418" max="7418" width="36.5703125" customWidth="1"/>
    <col min="7665" max="7665" width="4.7109375" customWidth="1"/>
    <col min="7666" max="7666" width="30.7109375" customWidth="1"/>
    <col min="7667" max="7667" width="4.7109375" customWidth="1"/>
    <col min="7668" max="7668" width="13.7109375" customWidth="1"/>
    <col min="7669" max="7671" width="12.7109375" customWidth="1"/>
    <col min="7673" max="7673" width="21" customWidth="1"/>
    <col min="7674" max="7674" width="36.5703125" customWidth="1"/>
    <col min="7921" max="7921" width="4.7109375" customWidth="1"/>
    <col min="7922" max="7922" width="30.7109375" customWidth="1"/>
    <col min="7923" max="7923" width="4.7109375" customWidth="1"/>
    <col min="7924" max="7924" width="13.7109375" customWidth="1"/>
    <col min="7925" max="7927" width="12.7109375" customWidth="1"/>
    <col min="7929" max="7929" width="21" customWidth="1"/>
    <col min="7930" max="7930" width="36.5703125" customWidth="1"/>
    <col min="8177" max="8177" width="4.7109375" customWidth="1"/>
    <col min="8178" max="8178" width="30.7109375" customWidth="1"/>
    <col min="8179" max="8179" width="4.7109375" customWidth="1"/>
    <col min="8180" max="8180" width="13.7109375" customWidth="1"/>
    <col min="8181" max="8183" width="12.7109375" customWidth="1"/>
    <col min="8185" max="8185" width="21" customWidth="1"/>
    <col min="8186" max="8186" width="36.5703125" customWidth="1"/>
    <col min="8433" max="8433" width="4.7109375" customWidth="1"/>
    <col min="8434" max="8434" width="30.7109375" customWidth="1"/>
    <col min="8435" max="8435" width="4.7109375" customWidth="1"/>
    <col min="8436" max="8436" width="13.7109375" customWidth="1"/>
    <col min="8437" max="8439" width="12.7109375" customWidth="1"/>
    <col min="8441" max="8441" width="21" customWidth="1"/>
    <col min="8442" max="8442" width="36.5703125" customWidth="1"/>
    <col min="8689" max="8689" width="4.7109375" customWidth="1"/>
    <col min="8690" max="8690" width="30.7109375" customWidth="1"/>
    <col min="8691" max="8691" width="4.7109375" customWidth="1"/>
    <col min="8692" max="8692" width="13.7109375" customWidth="1"/>
    <col min="8693" max="8695" width="12.7109375" customWidth="1"/>
    <col min="8697" max="8697" width="21" customWidth="1"/>
    <col min="8698" max="8698" width="36.5703125" customWidth="1"/>
    <col min="8945" max="8945" width="4.7109375" customWidth="1"/>
    <col min="8946" max="8946" width="30.7109375" customWidth="1"/>
    <col min="8947" max="8947" width="4.7109375" customWidth="1"/>
    <col min="8948" max="8948" width="13.7109375" customWidth="1"/>
    <col min="8949" max="8951" width="12.7109375" customWidth="1"/>
    <col min="8953" max="8953" width="21" customWidth="1"/>
    <col min="8954" max="8954" width="36.5703125" customWidth="1"/>
    <col min="9201" max="9201" width="4.7109375" customWidth="1"/>
    <col min="9202" max="9202" width="30.7109375" customWidth="1"/>
    <col min="9203" max="9203" width="4.7109375" customWidth="1"/>
    <col min="9204" max="9204" width="13.7109375" customWidth="1"/>
    <col min="9205" max="9207" width="12.7109375" customWidth="1"/>
    <col min="9209" max="9209" width="21" customWidth="1"/>
    <col min="9210" max="9210" width="36.5703125" customWidth="1"/>
    <col min="9457" max="9457" width="4.7109375" customWidth="1"/>
    <col min="9458" max="9458" width="30.7109375" customWidth="1"/>
    <col min="9459" max="9459" width="4.7109375" customWidth="1"/>
    <col min="9460" max="9460" width="13.7109375" customWidth="1"/>
    <col min="9461" max="9463" width="12.7109375" customWidth="1"/>
    <col min="9465" max="9465" width="21" customWidth="1"/>
    <col min="9466" max="9466" width="36.5703125" customWidth="1"/>
    <col min="9713" max="9713" width="4.7109375" customWidth="1"/>
    <col min="9714" max="9714" width="30.7109375" customWidth="1"/>
    <col min="9715" max="9715" width="4.7109375" customWidth="1"/>
    <col min="9716" max="9716" width="13.7109375" customWidth="1"/>
    <col min="9717" max="9719" width="12.7109375" customWidth="1"/>
    <col min="9721" max="9721" width="21" customWidth="1"/>
    <col min="9722" max="9722" width="36.5703125" customWidth="1"/>
    <col min="9969" max="9969" width="4.7109375" customWidth="1"/>
    <col min="9970" max="9970" width="30.7109375" customWidth="1"/>
    <col min="9971" max="9971" width="4.7109375" customWidth="1"/>
    <col min="9972" max="9972" width="13.7109375" customWidth="1"/>
    <col min="9973" max="9975" width="12.7109375" customWidth="1"/>
    <col min="9977" max="9977" width="21" customWidth="1"/>
    <col min="9978" max="9978" width="36.5703125" customWidth="1"/>
    <col min="10225" max="10225" width="4.7109375" customWidth="1"/>
    <col min="10226" max="10226" width="30.7109375" customWidth="1"/>
    <col min="10227" max="10227" width="4.7109375" customWidth="1"/>
    <col min="10228" max="10228" width="13.7109375" customWidth="1"/>
    <col min="10229" max="10231" width="12.7109375" customWidth="1"/>
    <col min="10233" max="10233" width="21" customWidth="1"/>
    <col min="10234" max="10234" width="36.5703125" customWidth="1"/>
    <col min="10481" max="10481" width="4.7109375" customWidth="1"/>
    <col min="10482" max="10482" width="30.7109375" customWidth="1"/>
    <col min="10483" max="10483" width="4.7109375" customWidth="1"/>
    <col min="10484" max="10484" width="13.7109375" customWidth="1"/>
    <col min="10485" max="10487" width="12.7109375" customWidth="1"/>
    <col min="10489" max="10489" width="21" customWidth="1"/>
    <col min="10490" max="10490" width="36.5703125" customWidth="1"/>
    <col min="10737" max="10737" width="4.7109375" customWidth="1"/>
    <col min="10738" max="10738" width="30.7109375" customWidth="1"/>
    <col min="10739" max="10739" width="4.7109375" customWidth="1"/>
    <col min="10740" max="10740" width="13.7109375" customWidth="1"/>
    <col min="10741" max="10743" width="12.7109375" customWidth="1"/>
    <col min="10745" max="10745" width="21" customWidth="1"/>
    <col min="10746" max="10746" width="36.5703125" customWidth="1"/>
    <col min="10993" max="10993" width="4.7109375" customWidth="1"/>
    <col min="10994" max="10994" width="30.7109375" customWidth="1"/>
    <col min="10995" max="10995" width="4.7109375" customWidth="1"/>
    <col min="10996" max="10996" width="13.7109375" customWidth="1"/>
    <col min="10997" max="10999" width="12.7109375" customWidth="1"/>
    <col min="11001" max="11001" width="21" customWidth="1"/>
    <col min="11002" max="11002" width="36.5703125" customWidth="1"/>
    <col min="11249" max="11249" width="4.7109375" customWidth="1"/>
    <col min="11250" max="11250" width="30.7109375" customWidth="1"/>
    <col min="11251" max="11251" width="4.7109375" customWidth="1"/>
    <col min="11252" max="11252" width="13.7109375" customWidth="1"/>
    <col min="11253" max="11255" width="12.7109375" customWidth="1"/>
    <col min="11257" max="11257" width="21" customWidth="1"/>
    <col min="11258" max="11258" width="36.5703125" customWidth="1"/>
    <col min="11505" max="11505" width="4.7109375" customWidth="1"/>
    <col min="11506" max="11506" width="30.7109375" customWidth="1"/>
    <col min="11507" max="11507" width="4.7109375" customWidth="1"/>
    <col min="11508" max="11508" width="13.7109375" customWidth="1"/>
    <col min="11509" max="11511" width="12.7109375" customWidth="1"/>
    <col min="11513" max="11513" width="21" customWidth="1"/>
    <col min="11514" max="11514" width="36.5703125" customWidth="1"/>
    <col min="11761" max="11761" width="4.7109375" customWidth="1"/>
    <col min="11762" max="11762" width="30.7109375" customWidth="1"/>
    <col min="11763" max="11763" width="4.7109375" customWidth="1"/>
    <col min="11764" max="11764" width="13.7109375" customWidth="1"/>
    <col min="11765" max="11767" width="12.7109375" customWidth="1"/>
    <col min="11769" max="11769" width="21" customWidth="1"/>
    <col min="11770" max="11770" width="36.5703125" customWidth="1"/>
    <col min="12017" max="12017" width="4.7109375" customWidth="1"/>
    <col min="12018" max="12018" width="30.7109375" customWidth="1"/>
    <col min="12019" max="12019" width="4.7109375" customWidth="1"/>
    <col min="12020" max="12020" width="13.7109375" customWidth="1"/>
    <col min="12021" max="12023" width="12.7109375" customWidth="1"/>
    <col min="12025" max="12025" width="21" customWidth="1"/>
    <col min="12026" max="12026" width="36.5703125" customWidth="1"/>
    <col min="12273" max="12273" width="4.7109375" customWidth="1"/>
    <col min="12274" max="12274" width="30.7109375" customWidth="1"/>
    <col min="12275" max="12275" width="4.7109375" customWidth="1"/>
    <col min="12276" max="12276" width="13.7109375" customWidth="1"/>
    <col min="12277" max="12279" width="12.7109375" customWidth="1"/>
    <col min="12281" max="12281" width="21" customWidth="1"/>
    <col min="12282" max="12282" width="36.5703125" customWidth="1"/>
    <col min="12529" max="12529" width="4.7109375" customWidth="1"/>
    <col min="12530" max="12530" width="30.7109375" customWidth="1"/>
    <col min="12531" max="12531" width="4.7109375" customWidth="1"/>
    <col min="12532" max="12532" width="13.7109375" customWidth="1"/>
    <col min="12533" max="12535" width="12.7109375" customWidth="1"/>
    <col min="12537" max="12537" width="21" customWidth="1"/>
    <col min="12538" max="12538" width="36.5703125" customWidth="1"/>
    <col min="12785" max="12785" width="4.7109375" customWidth="1"/>
    <col min="12786" max="12786" width="30.7109375" customWidth="1"/>
    <col min="12787" max="12787" width="4.7109375" customWidth="1"/>
    <col min="12788" max="12788" width="13.7109375" customWidth="1"/>
    <col min="12789" max="12791" width="12.7109375" customWidth="1"/>
    <col min="12793" max="12793" width="21" customWidth="1"/>
    <col min="12794" max="12794" width="36.5703125" customWidth="1"/>
    <col min="13041" max="13041" width="4.7109375" customWidth="1"/>
    <col min="13042" max="13042" width="30.7109375" customWidth="1"/>
    <col min="13043" max="13043" width="4.7109375" customWidth="1"/>
    <col min="13044" max="13044" width="13.7109375" customWidth="1"/>
    <col min="13045" max="13047" width="12.7109375" customWidth="1"/>
    <col min="13049" max="13049" width="21" customWidth="1"/>
    <col min="13050" max="13050" width="36.5703125" customWidth="1"/>
    <col min="13297" max="13297" width="4.7109375" customWidth="1"/>
    <col min="13298" max="13298" width="30.7109375" customWidth="1"/>
    <col min="13299" max="13299" width="4.7109375" customWidth="1"/>
    <col min="13300" max="13300" width="13.7109375" customWidth="1"/>
    <col min="13301" max="13303" width="12.7109375" customWidth="1"/>
    <col min="13305" max="13305" width="21" customWidth="1"/>
    <col min="13306" max="13306" width="36.5703125" customWidth="1"/>
    <col min="13553" max="13553" width="4.7109375" customWidth="1"/>
    <col min="13554" max="13554" width="30.7109375" customWidth="1"/>
    <col min="13555" max="13555" width="4.7109375" customWidth="1"/>
    <col min="13556" max="13556" width="13.7109375" customWidth="1"/>
    <col min="13557" max="13559" width="12.7109375" customWidth="1"/>
    <col min="13561" max="13561" width="21" customWidth="1"/>
    <col min="13562" max="13562" width="36.5703125" customWidth="1"/>
    <col min="13809" max="13809" width="4.7109375" customWidth="1"/>
    <col min="13810" max="13810" width="30.7109375" customWidth="1"/>
    <col min="13811" max="13811" width="4.7109375" customWidth="1"/>
    <col min="13812" max="13812" width="13.7109375" customWidth="1"/>
    <col min="13813" max="13815" width="12.7109375" customWidth="1"/>
    <col min="13817" max="13817" width="21" customWidth="1"/>
    <col min="13818" max="13818" width="36.5703125" customWidth="1"/>
    <col min="14065" max="14065" width="4.7109375" customWidth="1"/>
    <col min="14066" max="14066" width="30.7109375" customWidth="1"/>
    <col min="14067" max="14067" width="4.7109375" customWidth="1"/>
    <col min="14068" max="14068" width="13.7109375" customWidth="1"/>
    <col min="14069" max="14071" width="12.7109375" customWidth="1"/>
    <col min="14073" max="14073" width="21" customWidth="1"/>
    <col min="14074" max="14074" width="36.5703125" customWidth="1"/>
    <col min="14321" max="14321" width="4.7109375" customWidth="1"/>
    <col min="14322" max="14322" width="30.7109375" customWidth="1"/>
    <col min="14323" max="14323" width="4.7109375" customWidth="1"/>
    <col min="14324" max="14324" width="13.7109375" customWidth="1"/>
    <col min="14325" max="14327" width="12.7109375" customWidth="1"/>
    <col min="14329" max="14329" width="21" customWidth="1"/>
    <col min="14330" max="14330" width="36.5703125" customWidth="1"/>
    <col min="14577" max="14577" width="4.7109375" customWidth="1"/>
    <col min="14578" max="14578" width="30.7109375" customWidth="1"/>
    <col min="14579" max="14579" width="4.7109375" customWidth="1"/>
    <col min="14580" max="14580" width="13.7109375" customWidth="1"/>
    <col min="14581" max="14583" width="12.7109375" customWidth="1"/>
    <col min="14585" max="14585" width="21" customWidth="1"/>
    <col min="14586" max="14586" width="36.5703125" customWidth="1"/>
    <col min="14833" max="14833" width="4.7109375" customWidth="1"/>
    <col min="14834" max="14834" width="30.7109375" customWidth="1"/>
    <col min="14835" max="14835" width="4.7109375" customWidth="1"/>
    <col min="14836" max="14836" width="13.7109375" customWidth="1"/>
    <col min="14837" max="14839" width="12.7109375" customWidth="1"/>
    <col min="14841" max="14841" width="21" customWidth="1"/>
    <col min="14842" max="14842" width="36.5703125" customWidth="1"/>
    <col min="15089" max="15089" width="4.7109375" customWidth="1"/>
    <col min="15090" max="15090" width="30.7109375" customWidth="1"/>
    <col min="15091" max="15091" width="4.7109375" customWidth="1"/>
    <col min="15092" max="15092" width="13.7109375" customWidth="1"/>
    <col min="15093" max="15095" width="12.7109375" customWidth="1"/>
    <col min="15097" max="15097" width="21" customWidth="1"/>
    <col min="15098" max="15098" width="36.5703125" customWidth="1"/>
    <col min="15345" max="15345" width="4.7109375" customWidth="1"/>
    <col min="15346" max="15346" width="30.7109375" customWidth="1"/>
    <col min="15347" max="15347" width="4.7109375" customWidth="1"/>
    <col min="15348" max="15348" width="13.7109375" customWidth="1"/>
    <col min="15349" max="15351" width="12.7109375" customWidth="1"/>
    <col min="15353" max="15353" width="21" customWidth="1"/>
    <col min="15354" max="15354" width="36.5703125" customWidth="1"/>
    <col min="15601" max="15601" width="4.7109375" customWidth="1"/>
    <col min="15602" max="15602" width="30.7109375" customWidth="1"/>
    <col min="15603" max="15603" width="4.7109375" customWidth="1"/>
    <col min="15604" max="15604" width="13.7109375" customWidth="1"/>
    <col min="15605" max="15607" width="12.7109375" customWidth="1"/>
    <col min="15609" max="15609" width="21" customWidth="1"/>
    <col min="15610" max="15610" width="36.5703125" customWidth="1"/>
    <col min="15857" max="15857" width="4.7109375" customWidth="1"/>
    <col min="15858" max="15858" width="30.7109375" customWidth="1"/>
    <col min="15859" max="15859" width="4.7109375" customWidth="1"/>
    <col min="15860" max="15860" width="13.7109375" customWidth="1"/>
    <col min="15861" max="15863" width="12.7109375" customWidth="1"/>
    <col min="15865" max="15865" width="21" customWidth="1"/>
    <col min="15866" max="15866" width="36.5703125" customWidth="1"/>
    <col min="16113" max="16113" width="4.7109375" customWidth="1"/>
    <col min="16114" max="16114" width="30.7109375" customWidth="1"/>
    <col min="16115" max="16115" width="4.7109375" customWidth="1"/>
    <col min="16116" max="16116" width="13.7109375" customWidth="1"/>
    <col min="16117" max="16119" width="12.7109375" customWidth="1"/>
    <col min="16121" max="16121" width="21" customWidth="1"/>
    <col min="16122" max="16122" width="36.5703125" customWidth="1"/>
  </cols>
  <sheetData>
    <row r="1" spans="1:7" ht="12.75" customHeight="1">
      <c r="B1" s="104" t="s">
        <v>27</v>
      </c>
    </row>
    <row r="2" spans="1:7" ht="12.75" customHeight="1">
      <c r="B2" s="104" t="s">
        <v>28</v>
      </c>
    </row>
    <row r="3" spans="1:7" ht="12.75" customHeight="1">
      <c r="B3" s="105" t="s">
        <v>29</v>
      </c>
    </row>
    <row r="5" spans="1:7" ht="15.75">
      <c r="A5" s="22" t="s">
        <v>63</v>
      </c>
      <c r="B5" s="129" t="s">
        <v>77</v>
      </c>
      <c r="C5" s="131"/>
      <c r="D5" s="170"/>
      <c r="E5" s="171"/>
      <c r="F5" s="171"/>
      <c r="G5" s="144"/>
    </row>
    <row r="6" spans="1:7" ht="12.75" customHeight="1">
      <c r="A6" s="48"/>
      <c r="B6" s="49"/>
      <c r="C6" s="131"/>
      <c r="D6" s="170"/>
      <c r="E6" s="171"/>
      <c r="F6" s="171"/>
      <c r="G6" s="144"/>
    </row>
    <row r="7" spans="1:7" ht="165.75">
      <c r="A7" s="48">
        <v>1</v>
      </c>
      <c r="B7" s="61" t="s">
        <v>410</v>
      </c>
      <c r="C7" s="131"/>
      <c r="D7" s="172"/>
      <c r="E7" s="172"/>
      <c r="F7" s="171"/>
      <c r="G7" s="144"/>
    </row>
    <row r="8" spans="1:7" ht="12.75" customHeight="1">
      <c r="A8" s="48"/>
      <c r="B8" s="72" t="s">
        <v>80</v>
      </c>
      <c r="C8" s="132" t="s">
        <v>16</v>
      </c>
      <c r="D8" s="130">
        <v>0</v>
      </c>
      <c r="E8" s="130">
        <v>0</v>
      </c>
      <c r="F8" s="146"/>
      <c r="G8" s="147">
        <f>E8*F8</f>
        <v>0</v>
      </c>
    </row>
    <row r="9" spans="1:7" ht="12.75" customHeight="1">
      <c r="A9" s="48"/>
      <c r="B9" s="72" t="s">
        <v>81</v>
      </c>
      <c r="C9" s="132" t="s">
        <v>16</v>
      </c>
      <c r="D9" s="130">
        <v>0</v>
      </c>
      <c r="E9" s="130">
        <v>0</v>
      </c>
      <c r="F9" s="146"/>
      <c r="G9" s="147">
        <f t="shared" ref="G9:G11" si="0">E9*F9</f>
        <v>0</v>
      </c>
    </row>
    <row r="10" spans="1:7" ht="12.75" customHeight="1">
      <c r="A10" s="48"/>
      <c r="B10" s="72" t="s">
        <v>83</v>
      </c>
      <c r="C10" s="132" t="s">
        <v>16</v>
      </c>
      <c r="D10" s="130" t="s">
        <v>153</v>
      </c>
      <c r="E10" s="130">
        <f>25.7*5.6*0.2</f>
        <v>28.783999999999999</v>
      </c>
      <c r="F10" s="146"/>
      <c r="G10" s="147">
        <f t="shared" si="0"/>
        <v>0</v>
      </c>
    </row>
    <row r="11" spans="1:7" ht="12.75" customHeight="1">
      <c r="A11" s="48"/>
      <c r="B11" s="72" t="s">
        <v>82</v>
      </c>
      <c r="C11" s="132" t="s">
        <v>16</v>
      </c>
      <c r="D11" s="130" t="s">
        <v>154</v>
      </c>
      <c r="E11" s="130">
        <f>185.42*5.6*0.2</f>
        <v>207.67039999999997</v>
      </c>
      <c r="F11" s="146"/>
      <c r="G11" s="147">
        <f t="shared" si="0"/>
        <v>0</v>
      </c>
    </row>
    <row r="12" spans="1:7" ht="12.75" customHeight="1">
      <c r="A12" s="48"/>
      <c r="B12" s="72"/>
      <c r="C12" s="131"/>
      <c r="D12" s="172"/>
      <c r="E12" s="172"/>
      <c r="F12" s="171"/>
      <c r="G12" s="144"/>
    </row>
    <row r="13" spans="1:7" ht="255">
      <c r="A13" s="48">
        <f>+A7+1</f>
        <v>2</v>
      </c>
      <c r="B13" s="64" t="s">
        <v>444</v>
      </c>
      <c r="C13" s="131"/>
      <c r="D13" s="450"/>
      <c r="E13" s="450"/>
      <c r="F13" s="171"/>
      <c r="G13" s="144"/>
    </row>
    <row r="14" spans="1:7" ht="12.75" customHeight="1">
      <c r="A14" s="48"/>
      <c r="B14" s="72" t="s">
        <v>80</v>
      </c>
      <c r="C14" s="131" t="s">
        <v>16</v>
      </c>
      <c r="D14" s="155">
        <f>+(175*3.57)*30%-(E8*30%)</f>
        <v>187.42499999999998</v>
      </c>
      <c r="E14" s="171">
        <f>+D14</f>
        <v>187.42499999999998</v>
      </c>
      <c r="F14" s="171"/>
      <c r="G14" s="147">
        <f>E14*F14</f>
        <v>0</v>
      </c>
    </row>
    <row r="15" spans="1:7" ht="12.75" customHeight="1">
      <c r="A15" s="48"/>
      <c r="B15" s="72" t="s">
        <v>81</v>
      </c>
      <c r="C15" s="131" t="s">
        <v>16</v>
      </c>
      <c r="D15" s="155">
        <f>+(82*2.17+4*2.5)*30%-(E9*30%)</f>
        <v>56.381999999999998</v>
      </c>
      <c r="E15" s="171">
        <f t="shared" ref="E15:E17" si="1">+D15</f>
        <v>56.381999999999998</v>
      </c>
      <c r="F15" s="171"/>
      <c r="G15" s="147">
        <f t="shared" ref="G15:G17" si="2">E15*F15</f>
        <v>0</v>
      </c>
    </row>
    <row r="16" spans="1:7" ht="12.75" customHeight="1">
      <c r="A16" s="48"/>
      <c r="B16" s="72" t="s">
        <v>83</v>
      </c>
      <c r="C16" s="131" t="s">
        <v>16</v>
      </c>
      <c r="D16" s="155">
        <f>+(50*2.17+3*2.5)*30%-(E10*30%)</f>
        <v>26.1648</v>
      </c>
      <c r="E16" s="171">
        <f t="shared" si="1"/>
        <v>26.1648</v>
      </c>
      <c r="F16" s="171"/>
      <c r="G16" s="147">
        <f t="shared" si="2"/>
        <v>0</v>
      </c>
    </row>
    <row r="17" spans="1:7" ht="12.75" customHeight="1">
      <c r="A17" s="48"/>
      <c r="B17" s="72" t="s">
        <v>82</v>
      </c>
      <c r="C17" s="131" t="s">
        <v>16</v>
      </c>
      <c r="D17" s="155">
        <f>+(226*3.22+102*2.78+15*2.5)*30%-(E11*30%)</f>
        <v>252.33287999999996</v>
      </c>
      <c r="E17" s="171">
        <f t="shared" si="1"/>
        <v>252.33287999999996</v>
      </c>
      <c r="F17" s="171"/>
      <c r="G17" s="147">
        <f t="shared" si="2"/>
        <v>0</v>
      </c>
    </row>
    <row r="18" spans="1:7" ht="12.75" customHeight="1">
      <c r="A18" s="48"/>
      <c r="B18" s="72"/>
      <c r="C18" s="131"/>
      <c r="D18" s="172"/>
      <c r="E18" s="172"/>
      <c r="F18" s="171"/>
      <c r="G18" s="144"/>
    </row>
    <row r="19" spans="1:7" ht="255">
      <c r="A19" s="48">
        <f>+A13+1</f>
        <v>3</v>
      </c>
      <c r="B19" s="64" t="s">
        <v>445</v>
      </c>
      <c r="C19" s="133"/>
      <c r="D19" s="450"/>
      <c r="E19" s="451"/>
      <c r="F19" s="173"/>
      <c r="G19" s="174"/>
    </row>
    <row r="20" spans="1:7" ht="12.75" customHeight="1">
      <c r="A20" s="48"/>
      <c r="B20" s="72" t="s">
        <v>80</v>
      </c>
      <c r="C20" s="131" t="s">
        <v>16</v>
      </c>
      <c r="D20" s="155">
        <f>+(175*3.57)*50%-(E8*50%)</f>
        <v>312.375</v>
      </c>
      <c r="E20" s="171">
        <f t="shared" ref="E20:E23" si="3">+D20</f>
        <v>312.375</v>
      </c>
      <c r="F20" s="171"/>
      <c r="G20" s="147">
        <f>E20*F20</f>
        <v>0</v>
      </c>
    </row>
    <row r="21" spans="1:7" ht="12.75" customHeight="1">
      <c r="A21" s="48"/>
      <c r="B21" s="72" t="s">
        <v>81</v>
      </c>
      <c r="C21" s="131" t="s">
        <v>16</v>
      </c>
      <c r="D21" s="155">
        <f>+(82*2.17+4*2.5)*50%-(E9*50%)</f>
        <v>93.97</v>
      </c>
      <c r="E21" s="171">
        <f t="shared" si="3"/>
        <v>93.97</v>
      </c>
      <c r="F21" s="171"/>
      <c r="G21" s="147">
        <f t="shared" ref="G21:G23" si="4">E21*F21</f>
        <v>0</v>
      </c>
    </row>
    <row r="22" spans="1:7" ht="12.75" customHeight="1">
      <c r="A22" s="48"/>
      <c r="B22" s="72" t="s">
        <v>83</v>
      </c>
      <c r="C22" s="131" t="s">
        <v>16</v>
      </c>
      <c r="D22" s="155">
        <f>+(50*2.17+3*2.5)*50%-(E10*50%)</f>
        <v>43.608000000000004</v>
      </c>
      <c r="E22" s="171">
        <f t="shared" si="3"/>
        <v>43.608000000000004</v>
      </c>
      <c r="F22" s="171"/>
      <c r="G22" s="147">
        <f t="shared" si="4"/>
        <v>0</v>
      </c>
    </row>
    <row r="23" spans="1:7" ht="12.75" customHeight="1">
      <c r="A23" s="48"/>
      <c r="B23" s="72" t="s">
        <v>82</v>
      </c>
      <c r="C23" s="131" t="s">
        <v>16</v>
      </c>
      <c r="D23" s="155">
        <f>+(226*3.22+102*2.78+15*2.5)*50%-(E11*50%)</f>
        <v>420.5548</v>
      </c>
      <c r="E23" s="171">
        <f t="shared" si="3"/>
        <v>420.5548</v>
      </c>
      <c r="F23" s="171"/>
      <c r="G23" s="147">
        <f t="shared" si="4"/>
        <v>0</v>
      </c>
    </row>
    <row r="24" spans="1:7" ht="12.75" customHeight="1">
      <c r="A24" s="48"/>
      <c r="B24" s="49"/>
      <c r="C24" s="131"/>
      <c r="D24" s="170"/>
      <c r="E24" s="171"/>
      <c r="F24" s="171"/>
      <c r="G24" s="144"/>
    </row>
    <row r="25" spans="1:7" ht="255">
      <c r="A25" s="48">
        <f>+A19+1</f>
        <v>4</v>
      </c>
      <c r="B25" s="64" t="s">
        <v>446</v>
      </c>
      <c r="C25" s="134"/>
      <c r="D25" s="450"/>
      <c r="E25" s="451"/>
      <c r="F25" s="173"/>
      <c r="G25" s="147"/>
    </row>
    <row r="26" spans="1:7" ht="12.75" customHeight="1">
      <c r="A26" s="48"/>
      <c r="B26" s="72" t="s">
        <v>80</v>
      </c>
      <c r="C26" s="131" t="s">
        <v>16</v>
      </c>
      <c r="D26" s="155">
        <f>+(175*3.57)*20%-(E8*20%)</f>
        <v>124.95</v>
      </c>
      <c r="E26" s="171">
        <f t="shared" ref="E26:E29" si="5">+D26</f>
        <v>124.95</v>
      </c>
      <c r="F26" s="171"/>
      <c r="G26" s="147">
        <f>E26*F26</f>
        <v>0</v>
      </c>
    </row>
    <row r="27" spans="1:7" ht="12.75" customHeight="1">
      <c r="A27" s="48"/>
      <c r="B27" s="72" t="s">
        <v>81</v>
      </c>
      <c r="C27" s="131" t="s">
        <v>16</v>
      </c>
      <c r="D27" s="155">
        <f>+(82*2.17+4*2.5)*20%-(E9*20%)</f>
        <v>37.588000000000001</v>
      </c>
      <c r="E27" s="171">
        <f t="shared" si="5"/>
        <v>37.588000000000001</v>
      </c>
      <c r="F27" s="171"/>
      <c r="G27" s="147">
        <f t="shared" ref="G27:G29" si="6">E27*F27</f>
        <v>0</v>
      </c>
    </row>
    <row r="28" spans="1:7" ht="12.75" customHeight="1">
      <c r="A28" s="48"/>
      <c r="B28" s="72" t="s">
        <v>83</v>
      </c>
      <c r="C28" s="131" t="s">
        <v>16</v>
      </c>
      <c r="D28" s="155">
        <f>+(50*2.17+3*2.5)*20%-(E10*20%)</f>
        <v>17.443200000000004</v>
      </c>
      <c r="E28" s="171">
        <f t="shared" si="5"/>
        <v>17.443200000000004</v>
      </c>
      <c r="F28" s="171"/>
      <c r="G28" s="147">
        <f t="shared" si="6"/>
        <v>0</v>
      </c>
    </row>
    <row r="29" spans="1:7" ht="12.75" customHeight="1">
      <c r="A29" s="48"/>
      <c r="B29" s="72" t="s">
        <v>82</v>
      </c>
      <c r="C29" s="131" t="s">
        <v>16</v>
      </c>
      <c r="D29" s="155">
        <f>+(226*3.22+102*2.78+15*2.5)*20%-(E11*20%)</f>
        <v>168.22192000000001</v>
      </c>
      <c r="E29" s="171">
        <f t="shared" si="5"/>
        <v>168.22192000000001</v>
      </c>
      <c r="F29" s="171"/>
      <c r="G29" s="147">
        <f t="shared" si="6"/>
        <v>0</v>
      </c>
    </row>
    <row r="30" spans="1:7" ht="12.75" customHeight="1">
      <c r="A30" s="48"/>
      <c r="B30" s="52"/>
      <c r="C30" s="134"/>
      <c r="D30" s="130"/>
      <c r="E30" s="175"/>
      <c r="F30" s="173"/>
      <c r="G30" s="147"/>
    </row>
    <row r="31" spans="1:7" ht="255">
      <c r="A31" s="48">
        <f>+A25+1</f>
        <v>5</v>
      </c>
      <c r="B31" s="64" t="s">
        <v>447</v>
      </c>
      <c r="C31" s="134"/>
      <c r="D31" s="130"/>
      <c r="E31" s="175"/>
      <c r="F31" s="173"/>
      <c r="G31" s="147"/>
    </row>
    <row r="32" spans="1:7" ht="12.75" customHeight="1">
      <c r="A32" s="48"/>
      <c r="B32" s="72" t="s">
        <v>80</v>
      </c>
      <c r="C32" s="131" t="s">
        <v>16</v>
      </c>
      <c r="D32" s="130">
        <f>174*2</f>
        <v>348</v>
      </c>
      <c r="E32" s="175">
        <f>+D32</f>
        <v>348</v>
      </c>
      <c r="F32" s="171"/>
      <c r="G32" s="147">
        <f t="shared" ref="G32:G35" si="7">E32*F32</f>
        <v>0</v>
      </c>
    </row>
    <row r="33" spans="1:7" ht="12.75" customHeight="1">
      <c r="A33" s="48"/>
      <c r="B33" s="72" t="s">
        <v>81</v>
      </c>
      <c r="C33" s="131" t="s">
        <v>16</v>
      </c>
      <c r="D33" s="130">
        <f>9*1.99+3*1.5</f>
        <v>22.41</v>
      </c>
      <c r="E33" s="175">
        <f t="shared" ref="E33:E35" si="8">+D33</f>
        <v>22.41</v>
      </c>
      <c r="F33" s="171"/>
      <c r="G33" s="147">
        <f t="shared" si="7"/>
        <v>0</v>
      </c>
    </row>
    <row r="34" spans="1:7" ht="12.75" customHeight="1">
      <c r="A34" s="48"/>
      <c r="B34" s="72" t="s">
        <v>83</v>
      </c>
      <c r="C34" s="131" t="s">
        <v>16</v>
      </c>
      <c r="D34" s="130">
        <f>18*1.99+7*1.5</f>
        <v>46.32</v>
      </c>
      <c r="E34" s="175">
        <f t="shared" si="8"/>
        <v>46.32</v>
      </c>
      <c r="F34" s="171"/>
      <c r="G34" s="147">
        <f t="shared" si="7"/>
        <v>0</v>
      </c>
    </row>
    <row r="35" spans="1:7" ht="12.75" customHeight="1">
      <c r="A35" s="48"/>
      <c r="B35" s="72" t="s">
        <v>82</v>
      </c>
      <c r="C35" s="131" t="s">
        <v>16</v>
      </c>
      <c r="D35" s="130">
        <f>4*1.99+2*1.5</f>
        <v>10.96</v>
      </c>
      <c r="E35" s="175">
        <f t="shared" si="8"/>
        <v>10.96</v>
      </c>
      <c r="F35" s="171"/>
      <c r="G35" s="147">
        <f t="shared" si="7"/>
        <v>0</v>
      </c>
    </row>
    <row r="36" spans="1:7" ht="12.75" customHeight="1">
      <c r="A36" s="48"/>
      <c r="B36" s="52"/>
      <c r="C36" s="134"/>
      <c r="D36" s="130"/>
      <c r="E36" s="175"/>
      <c r="F36" s="173"/>
      <c r="G36" s="147"/>
    </row>
    <row r="37" spans="1:7" ht="168" customHeight="1">
      <c r="A37" s="48">
        <f>+A31+1</f>
        <v>6</v>
      </c>
      <c r="B37" s="56" t="s">
        <v>22</v>
      </c>
      <c r="C37" s="134"/>
      <c r="D37" s="153"/>
      <c r="E37" s="153"/>
      <c r="F37" s="153"/>
      <c r="G37" s="154"/>
    </row>
    <row r="38" spans="1:7" ht="12.75" customHeight="1">
      <c r="A38" s="48"/>
      <c r="B38" s="72" t="s">
        <v>80</v>
      </c>
      <c r="C38" s="134" t="s">
        <v>15</v>
      </c>
      <c r="D38" s="153">
        <v>1</v>
      </c>
      <c r="E38" s="153">
        <f t="shared" ref="E38:E41" si="9">+D38</f>
        <v>1</v>
      </c>
      <c r="F38" s="153"/>
      <c r="G38" s="154">
        <f t="shared" ref="G38:G41" si="10">E38*F38</f>
        <v>0</v>
      </c>
    </row>
    <row r="39" spans="1:7" ht="12.75" customHeight="1">
      <c r="A39" s="48"/>
      <c r="B39" s="72" t="s">
        <v>81</v>
      </c>
      <c r="C39" s="134" t="s">
        <v>15</v>
      </c>
      <c r="D39" s="153">
        <v>1</v>
      </c>
      <c r="E39" s="153">
        <f t="shared" si="9"/>
        <v>1</v>
      </c>
      <c r="F39" s="153"/>
      <c r="G39" s="154">
        <f t="shared" si="10"/>
        <v>0</v>
      </c>
    </row>
    <row r="40" spans="1:7" ht="12.75" customHeight="1">
      <c r="A40" s="48"/>
      <c r="B40" s="72" t="s">
        <v>83</v>
      </c>
      <c r="C40" s="134" t="s">
        <v>15</v>
      </c>
      <c r="D40" s="153">
        <v>1</v>
      </c>
      <c r="E40" s="153">
        <f t="shared" si="9"/>
        <v>1</v>
      </c>
      <c r="F40" s="153"/>
      <c r="G40" s="154">
        <f t="shared" si="10"/>
        <v>0</v>
      </c>
    </row>
    <row r="41" spans="1:7" ht="12.75" customHeight="1">
      <c r="A41" s="48"/>
      <c r="B41" s="72" t="s">
        <v>82</v>
      </c>
      <c r="C41" s="134" t="s">
        <v>15</v>
      </c>
      <c r="D41" s="153">
        <v>1</v>
      </c>
      <c r="E41" s="153">
        <f t="shared" si="9"/>
        <v>1</v>
      </c>
      <c r="F41" s="153"/>
      <c r="G41" s="154">
        <f t="shared" si="10"/>
        <v>0</v>
      </c>
    </row>
    <row r="42" spans="1:7" ht="12.75" customHeight="1">
      <c r="A42" s="48"/>
      <c r="B42" s="52"/>
      <c r="C42" s="134"/>
      <c r="D42" s="130"/>
      <c r="E42" s="175"/>
      <c r="F42" s="173"/>
      <c r="G42" s="147"/>
    </row>
    <row r="43" spans="1:7" ht="165.75">
      <c r="A43" s="48">
        <f>+A37+1</f>
        <v>7</v>
      </c>
      <c r="B43" s="64" t="s">
        <v>414</v>
      </c>
      <c r="C43" s="134"/>
      <c r="D43" s="153"/>
      <c r="E43" s="153"/>
      <c r="F43" s="153"/>
      <c r="G43" s="154"/>
    </row>
    <row r="44" spans="1:7" ht="12.75" customHeight="1">
      <c r="A44" s="48"/>
      <c r="B44" s="72" t="s">
        <v>80</v>
      </c>
      <c r="C44" s="134" t="s">
        <v>15</v>
      </c>
      <c r="D44" s="153">
        <v>1</v>
      </c>
      <c r="E44" s="153">
        <f t="shared" ref="E44:E47" si="11">+D44</f>
        <v>1</v>
      </c>
      <c r="F44" s="153"/>
      <c r="G44" s="154">
        <f t="shared" ref="G44:G47" si="12">E44*F44</f>
        <v>0</v>
      </c>
    </row>
    <row r="45" spans="1:7" ht="12.75" customHeight="1">
      <c r="A45" s="48"/>
      <c r="B45" s="72" t="s">
        <v>81</v>
      </c>
      <c r="C45" s="134" t="s">
        <v>15</v>
      </c>
      <c r="D45" s="153">
        <v>1</v>
      </c>
      <c r="E45" s="153">
        <f t="shared" si="11"/>
        <v>1</v>
      </c>
      <c r="F45" s="153"/>
      <c r="G45" s="154">
        <f t="shared" si="12"/>
        <v>0</v>
      </c>
    </row>
    <row r="46" spans="1:7" ht="12.75" customHeight="1">
      <c r="A46" s="48"/>
      <c r="B46" s="72" t="s">
        <v>83</v>
      </c>
      <c r="C46" s="134" t="s">
        <v>15</v>
      </c>
      <c r="D46" s="153">
        <v>1</v>
      </c>
      <c r="E46" s="153">
        <f t="shared" si="11"/>
        <v>1</v>
      </c>
      <c r="F46" s="153"/>
      <c r="G46" s="154">
        <f t="shared" si="12"/>
        <v>0</v>
      </c>
    </row>
    <row r="47" spans="1:7" ht="12.75" customHeight="1">
      <c r="A47" s="48"/>
      <c r="B47" s="72" t="s">
        <v>82</v>
      </c>
      <c r="C47" s="134" t="s">
        <v>15</v>
      </c>
      <c r="D47" s="153">
        <v>1</v>
      </c>
      <c r="E47" s="153">
        <f t="shared" si="11"/>
        <v>1</v>
      </c>
      <c r="F47" s="153"/>
      <c r="G47" s="154">
        <f t="shared" si="12"/>
        <v>0</v>
      </c>
    </row>
    <row r="48" spans="1:7" ht="12.75" customHeight="1">
      <c r="A48" s="48"/>
      <c r="B48" s="52"/>
      <c r="C48" s="134"/>
      <c r="D48" s="130"/>
      <c r="E48" s="175"/>
      <c r="F48" s="173"/>
      <c r="G48" s="147"/>
    </row>
    <row r="49" spans="1:7" ht="51">
      <c r="A49" s="48">
        <f>+A43+1</f>
        <v>8</v>
      </c>
      <c r="B49" s="64" t="s">
        <v>23</v>
      </c>
      <c r="C49" s="131"/>
      <c r="D49" s="155"/>
      <c r="E49" s="155"/>
      <c r="F49" s="172"/>
      <c r="G49" s="156"/>
    </row>
    <row r="50" spans="1:7" ht="12.75" customHeight="1">
      <c r="A50" s="48"/>
      <c r="B50" s="72" t="s">
        <v>80</v>
      </c>
      <c r="C50" s="131" t="s">
        <v>17</v>
      </c>
      <c r="D50" s="155">
        <f>175*1</f>
        <v>175</v>
      </c>
      <c r="E50" s="155">
        <f t="shared" ref="E50:E53" si="13">+D50</f>
        <v>175</v>
      </c>
      <c r="F50" s="172"/>
      <c r="G50" s="156">
        <f t="shared" ref="G50:G53" si="14">+E50*F50</f>
        <v>0</v>
      </c>
    </row>
    <row r="51" spans="1:7" ht="12.75" customHeight="1">
      <c r="A51" s="48"/>
      <c r="B51" s="72" t="s">
        <v>81</v>
      </c>
      <c r="C51" s="131" t="s">
        <v>17</v>
      </c>
      <c r="D51" s="155">
        <f>82*0.95</f>
        <v>77.899999999999991</v>
      </c>
      <c r="E51" s="155">
        <f t="shared" si="13"/>
        <v>77.899999999999991</v>
      </c>
      <c r="F51" s="172"/>
      <c r="G51" s="156">
        <f t="shared" si="14"/>
        <v>0</v>
      </c>
    </row>
    <row r="52" spans="1:7" ht="12.75" customHeight="1">
      <c r="A52" s="48"/>
      <c r="B52" s="72" t="s">
        <v>83</v>
      </c>
      <c r="C52" s="131" t="s">
        <v>17</v>
      </c>
      <c r="D52" s="155">
        <f>50*0.95</f>
        <v>47.5</v>
      </c>
      <c r="E52" s="155">
        <f t="shared" si="13"/>
        <v>47.5</v>
      </c>
      <c r="F52" s="172"/>
      <c r="G52" s="156">
        <f t="shared" si="14"/>
        <v>0</v>
      </c>
    </row>
    <row r="53" spans="1:7" ht="12.75" customHeight="1">
      <c r="A53" s="48"/>
      <c r="B53" s="72" t="s">
        <v>82</v>
      </c>
      <c r="C53" s="131" t="s">
        <v>17</v>
      </c>
      <c r="D53" s="155">
        <f>226*1.05+102*1</f>
        <v>339.3</v>
      </c>
      <c r="E53" s="155">
        <f t="shared" si="13"/>
        <v>339.3</v>
      </c>
      <c r="F53" s="172"/>
      <c r="G53" s="156">
        <f t="shared" si="14"/>
        <v>0</v>
      </c>
    </row>
    <row r="54" spans="1:7" ht="12.75" customHeight="1">
      <c r="A54" s="48"/>
      <c r="B54" s="72"/>
      <c r="C54" s="131"/>
      <c r="D54" s="155"/>
      <c r="E54" s="155"/>
      <c r="F54" s="172"/>
      <c r="G54" s="156"/>
    </row>
    <row r="55" spans="1:7" ht="142.5" customHeight="1">
      <c r="A55" s="48">
        <f>+A49+1</f>
        <v>9</v>
      </c>
      <c r="B55" s="53" t="s">
        <v>448</v>
      </c>
      <c r="C55" s="135"/>
      <c r="D55" s="130"/>
      <c r="E55" s="157"/>
      <c r="F55" s="158"/>
      <c r="G55" s="159"/>
    </row>
    <row r="56" spans="1:7" ht="15">
      <c r="A56" s="48"/>
      <c r="B56" s="72" t="s">
        <v>80</v>
      </c>
      <c r="C56" s="135" t="s">
        <v>16</v>
      </c>
      <c r="D56" s="130">
        <v>0</v>
      </c>
      <c r="E56" s="130">
        <f>D56</f>
        <v>0</v>
      </c>
      <c r="F56" s="158"/>
      <c r="G56" s="159">
        <f t="shared" ref="G56:G59" si="15">E56*F56</f>
        <v>0</v>
      </c>
    </row>
    <row r="57" spans="1:7" ht="12.75" customHeight="1">
      <c r="A57" s="48"/>
      <c r="B57" s="72" t="s">
        <v>81</v>
      </c>
      <c r="C57" s="135" t="s">
        <v>16</v>
      </c>
      <c r="D57" s="130">
        <v>0</v>
      </c>
      <c r="E57" s="157">
        <f t="shared" ref="E57" si="16">+D57</f>
        <v>0</v>
      </c>
      <c r="F57" s="158"/>
      <c r="G57" s="159">
        <f t="shared" si="15"/>
        <v>0</v>
      </c>
    </row>
    <row r="58" spans="1:7" ht="12.75" customHeight="1">
      <c r="A58" s="48"/>
      <c r="B58" s="72" t="s">
        <v>83</v>
      </c>
      <c r="C58" s="135" t="s">
        <v>16</v>
      </c>
      <c r="D58" s="130" t="s">
        <v>155</v>
      </c>
      <c r="E58" s="130">
        <f>25.7*0.57</f>
        <v>14.648999999999999</v>
      </c>
      <c r="F58" s="158"/>
      <c r="G58" s="159">
        <f t="shared" si="15"/>
        <v>0</v>
      </c>
    </row>
    <row r="59" spans="1:7" ht="12.75" customHeight="1">
      <c r="A59" s="48"/>
      <c r="B59" s="72" t="s">
        <v>82</v>
      </c>
      <c r="C59" s="135" t="s">
        <v>16</v>
      </c>
      <c r="D59" s="130" t="s">
        <v>156</v>
      </c>
      <c r="E59" s="130">
        <f>185.42*0.75</f>
        <v>139.065</v>
      </c>
      <c r="F59" s="158"/>
      <c r="G59" s="159">
        <f t="shared" si="15"/>
        <v>0</v>
      </c>
    </row>
    <row r="60" spans="1:7" ht="12.75" customHeight="1">
      <c r="A60" s="48"/>
      <c r="B60" s="72"/>
      <c r="C60" s="131"/>
      <c r="D60" s="155"/>
      <c r="E60" s="155"/>
      <c r="F60" s="172"/>
      <c r="G60" s="156"/>
    </row>
    <row r="61" spans="1:7" ht="114.75">
      <c r="A61" s="48">
        <f>+A55+1</f>
        <v>10</v>
      </c>
      <c r="B61" s="69" t="s">
        <v>449</v>
      </c>
      <c r="C61" s="134"/>
      <c r="D61" s="130"/>
      <c r="E61" s="130"/>
      <c r="F61" s="160"/>
      <c r="G61" s="154"/>
    </row>
    <row r="62" spans="1:7" ht="15">
      <c r="A62" s="48"/>
      <c r="B62" s="72" t="s">
        <v>80</v>
      </c>
      <c r="C62" s="134" t="s">
        <v>16</v>
      </c>
      <c r="D62" s="130">
        <f>0.23*174</f>
        <v>40.020000000000003</v>
      </c>
      <c r="E62" s="63">
        <f>D62</f>
        <v>40.020000000000003</v>
      </c>
      <c r="F62" s="70"/>
      <c r="G62" s="66">
        <f t="shared" ref="G62:G65" si="17">E62*F62</f>
        <v>0</v>
      </c>
    </row>
    <row r="63" spans="1:7" ht="25.5">
      <c r="A63" s="48"/>
      <c r="B63" s="72" t="s">
        <v>81</v>
      </c>
      <c r="C63" s="134" t="s">
        <v>16</v>
      </c>
      <c r="D63" s="157" t="s">
        <v>450</v>
      </c>
      <c r="E63" s="235">
        <f>84*0.1+9*0.1</f>
        <v>9.3000000000000007</v>
      </c>
      <c r="F63" s="70"/>
      <c r="G63" s="66">
        <f t="shared" si="17"/>
        <v>0</v>
      </c>
    </row>
    <row r="64" spans="1:7" ht="25.5">
      <c r="A64" s="48"/>
      <c r="B64" s="72" t="s">
        <v>83</v>
      </c>
      <c r="C64" s="134" t="s">
        <v>16</v>
      </c>
      <c r="D64" s="157" t="s">
        <v>451</v>
      </c>
      <c r="E64" s="67">
        <f>25.59*0.1+4*0.1</f>
        <v>2.9590000000000001</v>
      </c>
      <c r="F64" s="70"/>
      <c r="G64" s="66">
        <f t="shared" si="17"/>
        <v>0</v>
      </c>
    </row>
    <row r="65" spans="1:7" ht="25.5">
      <c r="A65" s="48"/>
      <c r="B65" s="72" t="s">
        <v>82</v>
      </c>
      <c r="C65" s="134" t="s">
        <v>16</v>
      </c>
      <c r="D65" s="157" t="s">
        <v>452</v>
      </c>
      <c r="E65" s="235">
        <f>143.01*0.12</f>
        <v>17.161199999999997</v>
      </c>
      <c r="F65" s="160"/>
      <c r="G65" s="154">
        <f t="shared" si="17"/>
        <v>0</v>
      </c>
    </row>
    <row r="66" spans="1:7" ht="12.75" customHeight="1">
      <c r="A66" s="48"/>
      <c r="B66" s="72"/>
      <c r="C66" s="134"/>
      <c r="D66" s="130"/>
      <c r="E66" s="130"/>
      <c r="F66" s="160"/>
      <c r="G66" s="154"/>
    </row>
    <row r="67" spans="1:7" ht="103.5" customHeight="1">
      <c r="A67" s="48">
        <f>+A61+1</f>
        <v>11</v>
      </c>
      <c r="B67" s="69" t="s">
        <v>453</v>
      </c>
      <c r="C67" s="134"/>
      <c r="D67" s="130"/>
      <c r="E67" s="130"/>
      <c r="F67" s="160"/>
      <c r="G67" s="154"/>
    </row>
    <row r="68" spans="1:7" ht="15">
      <c r="A68" s="48"/>
      <c r="B68" s="72" t="s">
        <v>80</v>
      </c>
      <c r="C68" s="134" t="s">
        <v>16</v>
      </c>
      <c r="D68" s="130">
        <f>0.23*174</f>
        <v>40.020000000000003</v>
      </c>
      <c r="E68" s="63">
        <f>D68</f>
        <v>40.020000000000003</v>
      </c>
      <c r="F68" s="70"/>
      <c r="G68" s="66">
        <f t="shared" ref="G68:G71" si="18">E68*F68</f>
        <v>0</v>
      </c>
    </row>
    <row r="69" spans="1:7" ht="25.5">
      <c r="A69" s="48"/>
      <c r="B69" s="72" t="s">
        <v>81</v>
      </c>
      <c r="C69" s="134" t="s">
        <v>16</v>
      </c>
      <c r="D69" s="157" t="s">
        <v>454</v>
      </c>
      <c r="E69" s="67">
        <f>84*0.28+9*0.16</f>
        <v>24.960000000000004</v>
      </c>
      <c r="F69" s="70"/>
      <c r="G69" s="66">
        <f t="shared" si="18"/>
        <v>0</v>
      </c>
    </row>
    <row r="70" spans="1:7" ht="25.5">
      <c r="A70" s="48"/>
      <c r="B70" s="72" t="s">
        <v>83</v>
      </c>
      <c r="C70" s="134" t="s">
        <v>16</v>
      </c>
      <c r="D70" s="157" t="s">
        <v>455</v>
      </c>
      <c r="E70" s="67">
        <f>25.59*0.28+4*0.16</f>
        <v>7.8052000000000001</v>
      </c>
      <c r="F70" s="70"/>
      <c r="G70" s="66">
        <f t="shared" si="18"/>
        <v>0</v>
      </c>
    </row>
    <row r="71" spans="1:7" ht="25.5">
      <c r="A71" s="48"/>
      <c r="B71" s="72" t="s">
        <v>82</v>
      </c>
      <c r="C71" s="134" t="s">
        <v>16</v>
      </c>
      <c r="D71" s="157" t="s">
        <v>456</v>
      </c>
      <c r="E71" s="67">
        <f>143.01*0.42+18*0.16</f>
        <v>62.944199999999995</v>
      </c>
      <c r="F71" s="70"/>
      <c r="G71" s="66">
        <f t="shared" si="18"/>
        <v>0</v>
      </c>
    </row>
    <row r="72" spans="1:7" ht="12.75" customHeight="1">
      <c r="A72" s="48"/>
      <c r="B72" s="72"/>
      <c r="C72" s="134"/>
      <c r="D72" s="130"/>
      <c r="E72" s="130"/>
      <c r="F72" s="160"/>
      <c r="G72" s="154"/>
    </row>
    <row r="73" spans="1:7" ht="191.25">
      <c r="A73" s="48">
        <f>+A67+1</f>
        <v>12</v>
      </c>
      <c r="B73" s="72" t="s">
        <v>79</v>
      </c>
      <c r="C73" s="134"/>
      <c r="D73" s="130"/>
      <c r="E73" s="130"/>
      <c r="F73" s="160"/>
      <c r="G73" s="154"/>
    </row>
    <row r="74" spans="1:7" ht="12.75" customHeight="1">
      <c r="A74" s="48"/>
      <c r="B74" s="72" t="s">
        <v>80</v>
      </c>
      <c r="C74" s="134" t="s">
        <v>17</v>
      </c>
      <c r="D74" s="130">
        <v>10</v>
      </c>
      <c r="E74" s="130">
        <f t="shared" ref="E74:E77" si="19">+D74</f>
        <v>10</v>
      </c>
      <c r="F74" s="160"/>
      <c r="G74" s="154">
        <f t="shared" ref="G74:G77" si="20">E74*F74</f>
        <v>0</v>
      </c>
    </row>
    <row r="75" spans="1:7" ht="12.75" customHeight="1">
      <c r="A75" s="48"/>
      <c r="B75" s="72" t="s">
        <v>81</v>
      </c>
      <c r="C75" s="134" t="s">
        <v>17</v>
      </c>
      <c r="D75" s="130">
        <v>10</v>
      </c>
      <c r="E75" s="130">
        <f t="shared" si="19"/>
        <v>10</v>
      </c>
      <c r="F75" s="160"/>
      <c r="G75" s="154">
        <f t="shared" si="20"/>
        <v>0</v>
      </c>
    </row>
    <row r="76" spans="1:7" ht="12.75" customHeight="1">
      <c r="A76" s="48"/>
      <c r="B76" s="72" t="s">
        <v>83</v>
      </c>
      <c r="C76" s="134" t="s">
        <v>17</v>
      </c>
      <c r="D76" s="130">
        <v>10</v>
      </c>
      <c r="E76" s="130">
        <f t="shared" si="19"/>
        <v>10</v>
      </c>
      <c r="F76" s="160"/>
      <c r="G76" s="154">
        <f t="shared" si="20"/>
        <v>0</v>
      </c>
    </row>
    <row r="77" spans="1:7" ht="12.75" customHeight="1">
      <c r="A77" s="48"/>
      <c r="B77" s="72" t="s">
        <v>82</v>
      </c>
      <c r="C77" s="134" t="s">
        <v>17</v>
      </c>
      <c r="D77" s="130">
        <v>10</v>
      </c>
      <c r="E77" s="130">
        <f t="shared" si="19"/>
        <v>10</v>
      </c>
      <c r="F77" s="160"/>
      <c r="G77" s="154">
        <f t="shared" si="20"/>
        <v>0</v>
      </c>
    </row>
    <row r="78" spans="1:7" ht="12.75" customHeight="1">
      <c r="A78" s="48"/>
      <c r="B78" s="72"/>
      <c r="C78" s="134"/>
      <c r="D78" s="130"/>
      <c r="E78" s="130"/>
      <c r="F78" s="160"/>
      <c r="G78" s="154"/>
    </row>
    <row r="79" spans="1:7" ht="165.75">
      <c r="A79" s="48">
        <f>+A73+1</f>
        <v>13</v>
      </c>
      <c r="B79" s="69" t="s">
        <v>419</v>
      </c>
      <c r="C79" s="134"/>
      <c r="D79" s="130"/>
      <c r="E79" s="130"/>
      <c r="F79" s="160"/>
      <c r="G79" s="154"/>
    </row>
    <row r="80" spans="1:7" ht="12.75" customHeight="1">
      <c r="A80" s="48"/>
      <c r="B80" s="72" t="s">
        <v>80</v>
      </c>
      <c r="C80" s="134" t="s">
        <v>16</v>
      </c>
      <c r="D80" s="130">
        <v>0</v>
      </c>
      <c r="E80" s="130">
        <f t="shared" ref="E80:E82" si="21">+D80</f>
        <v>0</v>
      </c>
      <c r="F80" s="160"/>
      <c r="G80" s="154">
        <f t="shared" ref="G80:G83" si="22">E80*F80</f>
        <v>0</v>
      </c>
    </row>
    <row r="81" spans="1:7" ht="12.75" customHeight="1">
      <c r="A81" s="48"/>
      <c r="B81" s="72" t="s">
        <v>81</v>
      </c>
      <c r="C81" s="134" t="s">
        <v>16</v>
      </c>
      <c r="D81" s="130">
        <v>0</v>
      </c>
      <c r="E81" s="130">
        <f t="shared" si="21"/>
        <v>0</v>
      </c>
      <c r="F81" s="160"/>
      <c r="G81" s="154">
        <f t="shared" si="22"/>
        <v>0</v>
      </c>
    </row>
    <row r="82" spans="1:7" ht="12.75" customHeight="1">
      <c r="A82" s="48"/>
      <c r="B82" s="72" t="s">
        <v>83</v>
      </c>
      <c r="C82" s="134" t="s">
        <v>16</v>
      </c>
      <c r="D82" s="130">
        <v>0</v>
      </c>
      <c r="E82" s="130">
        <f t="shared" si="21"/>
        <v>0</v>
      </c>
      <c r="F82" s="160"/>
      <c r="G82" s="154">
        <f t="shared" si="22"/>
        <v>0</v>
      </c>
    </row>
    <row r="83" spans="1:7" ht="12.75" customHeight="1">
      <c r="A83" s="48"/>
      <c r="B83" s="72" t="s">
        <v>82</v>
      </c>
      <c r="C83" s="134" t="s">
        <v>16</v>
      </c>
      <c r="D83" s="130" t="s">
        <v>157</v>
      </c>
      <c r="E83" s="130">
        <f>41*0.5</f>
        <v>20.5</v>
      </c>
      <c r="F83" s="160"/>
      <c r="G83" s="154">
        <f t="shared" si="22"/>
        <v>0</v>
      </c>
    </row>
    <row r="84" spans="1:7" ht="12.75" customHeight="1">
      <c r="A84" s="48"/>
      <c r="B84" s="53"/>
      <c r="C84" s="136"/>
      <c r="D84" s="161"/>
      <c r="E84" s="161"/>
      <c r="F84" s="162"/>
      <c r="G84" s="163"/>
    </row>
    <row r="85" spans="1:7" ht="140.25">
      <c r="A85" s="48">
        <f>+A79+1</f>
        <v>14</v>
      </c>
      <c r="B85" s="69" t="s">
        <v>420</v>
      </c>
      <c r="C85" s="134"/>
      <c r="D85" s="155"/>
      <c r="E85" s="161"/>
      <c r="F85" s="160"/>
      <c r="G85" s="154"/>
    </row>
    <row r="86" spans="1:7" ht="12.75" customHeight="1">
      <c r="A86" s="48"/>
      <c r="B86" s="72" t="s">
        <v>80</v>
      </c>
      <c r="C86" s="134" t="s">
        <v>16</v>
      </c>
      <c r="D86" s="155">
        <f>175*2.42</f>
        <v>423.5</v>
      </c>
      <c r="E86" s="161">
        <f t="shared" ref="E86:E89" si="23">+D86</f>
        <v>423.5</v>
      </c>
      <c r="F86" s="160"/>
      <c r="G86" s="154">
        <f t="shared" ref="G86:G89" si="24">E86*F86</f>
        <v>0</v>
      </c>
    </row>
    <row r="87" spans="1:7" ht="12.75" customHeight="1">
      <c r="A87" s="48"/>
      <c r="B87" s="72" t="s">
        <v>81</v>
      </c>
      <c r="C87" s="134" t="s">
        <v>16</v>
      </c>
      <c r="D87" s="155">
        <f>82*1.15+4*1.5</f>
        <v>100.3</v>
      </c>
      <c r="E87" s="161">
        <f t="shared" si="23"/>
        <v>100.3</v>
      </c>
      <c r="F87" s="160"/>
      <c r="G87" s="154">
        <f t="shared" si="24"/>
        <v>0</v>
      </c>
    </row>
    <row r="88" spans="1:7" ht="12.75" customHeight="1">
      <c r="A88" s="48"/>
      <c r="B88" s="72" t="s">
        <v>83</v>
      </c>
      <c r="C88" s="134" t="s">
        <v>16</v>
      </c>
      <c r="D88" s="155">
        <f>50*1.15+3*1.5</f>
        <v>61.999999999999993</v>
      </c>
      <c r="E88" s="161">
        <f t="shared" si="23"/>
        <v>61.999999999999993</v>
      </c>
      <c r="F88" s="160"/>
      <c r="G88" s="154">
        <f t="shared" si="24"/>
        <v>0</v>
      </c>
    </row>
    <row r="89" spans="1:7" ht="12.75" customHeight="1">
      <c r="A89" s="48"/>
      <c r="B89" s="72" t="s">
        <v>82</v>
      </c>
      <c r="C89" s="134" t="s">
        <v>16</v>
      </c>
      <c r="D89" s="155">
        <f>226*1.9+102*1.7+15*1.5</f>
        <v>625.29999999999995</v>
      </c>
      <c r="E89" s="161">
        <f t="shared" si="23"/>
        <v>625.29999999999995</v>
      </c>
      <c r="F89" s="160"/>
      <c r="G89" s="154">
        <f t="shared" si="24"/>
        <v>0</v>
      </c>
    </row>
    <row r="90" spans="1:7" ht="12.75" customHeight="1">
      <c r="A90" s="48"/>
      <c r="B90" s="56"/>
      <c r="C90" s="137"/>
      <c r="D90" s="164"/>
      <c r="E90" s="164"/>
      <c r="F90" s="165"/>
      <c r="G90" s="147"/>
    </row>
    <row r="91" spans="1:7" ht="102">
      <c r="A91" s="48">
        <f>+A85+1</f>
        <v>15</v>
      </c>
      <c r="B91" s="20" t="s">
        <v>421</v>
      </c>
      <c r="C91" s="131"/>
      <c r="D91" s="155"/>
      <c r="E91" s="155"/>
      <c r="F91" s="171"/>
      <c r="G91" s="144"/>
    </row>
    <row r="92" spans="1:7" ht="12.75" customHeight="1">
      <c r="A92" s="48"/>
      <c r="B92" s="72" t="s">
        <v>80</v>
      </c>
      <c r="C92" s="131" t="s">
        <v>16</v>
      </c>
      <c r="D92" s="155">
        <f>+(E32+E26+E20+E14+E8)-E86</f>
        <v>549.25</v>
      </c>
      <c r="E92" s="155">
        <f>+D92</f>
        <v>549.25</v>
      </c>
      <c r="F92" s="171"/>
      <c r="G92" s="144">
        <f t="shared" ref="G92:G95" si="25">+E92*F92</f>
        <v>0</v>
      </c>
    </row>
    <row r="93" spans="1:7" ht="12.75" customHeight="1">
      <c r="A93" s="48"/>
      <c r="B93" s="72" t="s">
        <v>81</v>
      </c>
      <c r="C93" s="131" t="s">
        <v>16</v>
      </c>
      <c r="D93" s="155">
        <f>+(E33+E27+E21+E15+E9)-E87</f>
        <v>110.05000000000003</v>
      </c>
      <c r="E93" s="155">
        <f t="shared" ref="E93:E95" si="26">+D93</f>
        <v>110.05000000000003</v>
      </c>
      <c r="F93" s="171"/>
      <c r="G93" s="144">
        <f t="shared" si="25"/>
        <v>0</v>
      </c>
    </row>
    <row r="94" spans="1:7" ht="12.75" customHeight="1">
      <c r="A94" s="48"/>
      <c r="B94" s="72" t="s">
        <v>83</v>
      </c>
      <c r="C94" s="131" t="s">
        <v>16</v>
      </c>
      <c r="D94" s="155">
        <f>+(E34+E28+E22+E16+E10)-E88</f>
        <v>100.32</v>
      </c>
      <c r="E94" s="155">
        <f t="shared" si="26"/>
        <v>100.32</v>
      </c>
      <c r="F94" s="171"/>
      <c r="G94" s="144">
        <f t="shared" si="25"/>
        <v>0</v>
      </c>
    </row>
    <row r="95" spans="1:7" ht="12.75" customHeight="1">
      <c r="A95" s="48"/>
      <c r="B95" s="72" t="s">
        <v>82</v>
      </c>
      <c r="C95" s="131" t="s">
        <v>16</v>
      </c>
      <c r="D95" s="155">
        <f>+(E35+E29+E23+E17+E11)-E89</f>
        <v>434.43999999999983</v>
      </c>
      <c r="E95" s="155">
        <f t="shared" si="26"/>
        <v>434.43999999999983</v>
      </c>
      <c r="F95" s="171"/>
      <c r="G95" s="144">
        <f t="shared" si="25"/>
        <v>0</v>
      </c>
    </row>
    <row r="96" spans="1:7" ht="12.75" customHeight="1">
      <c r="A96" s="48"/>
      <c r="B96" s="56"/>
      <c r="C96" s="137"/>
      <c r="D96" s="164"/>
      <c r="E96" s="164"/>
      <c r="F96" s="165"/>
      <c r="G96" s="147"/>
    </row>
    <row r="97" spans="1:7" ht="12.75" customHeight="1">
      <c r="A97" s="48"/>
      <c r="B97" s="56"/>
      <c r="C97" s="137"/>
      <c r="D97" s="164"/>
      <c r="E97" s="164"/>
      <c r="F97" s="165"/>
      <c r="G97" s="147"/>
    </row>
    <row r="98" spans="1:7" ht="12.75" customHeight="1">
      <c r="A98" s="48"/>
      <c r="B98" s="56" t="s">
        <v>366</v>
      </c>
      <c r="C98" s="137"/>
      <c r="D98" s="164"/>
      <c r="E98" s="221" t="s">
        <v>80</v>
      </c>
      <c r="F98" s="176"/>
      <c r="G98" s="147">
        <f>+G92+G86+G80+G74+G68+G62+G56+G50+G44+G38+G32+G26+G20+G14+G8</f>
        <v>0</v>
      </c>
    </row>
    <row r="99" spans="1:7" ht="12.75" customHeight="1">
      <c r="A99" s="48"/>
      <c r="B99" s="56"/>
      <c r="C99" s="137"/>
      <c r="D99" s="164"/>
      <c r="E99" s="221" t="s">
        <v>81</v>
      </c>
      <c r="F99" s="176"/>
      <c r="G99" s="147">
        <f>+G93+G87+G81+G75+G69+G63+G57+G51+G45+G39+G33+G27+G21+G15+G9</f>
        <v>0</v>
      </c>
    </row>
    <row r="100" spans="1:7" ht="12.75" customHeight="1">
      <c r="A100" s="48"/>
      <c r="B100" s="56"/>
      <c r="C100" s="137"/>
      <c r="D100" s="164"/>
      <c r="E100" s="221" t="s">
        <v>83</v>
      </c>
      <c r="F100" s="176"/>
      <c r="G100" s="147">
        <f>+G94+G88+G82+G76+G70+G64+G58+G52+G46+G40+G34+G28+G22+G16+G10</f>
        <v>0</v>
      </c>
    </row>
    <row r="101" spans="1:7" ht="12.75" customHeight="1">
      <c r="A101" s="48"/>
      <c r="B101" s="56"/>
      <c r="C101" s="137"/>
      <c r="D101" s="164"/>
      <c r="E101" s="221" t="s">
        <v>82</v>
      </c>
      <c r="F101" s="176"/>
      <c r="G101" s="147">
        <f>+G95+G89+G83+G77+G71+G65+G59+G53+G47+G41+G35+G29+G23+G17+G11</f>
        <v>0</v>
      </c>
    </row>
    <row r="102" spans="1:7" ht="12.75" customHeight="1">
      <c r="A102" s="48"/>
      <c r="B102" s="20"/>
      <c r="C102" s="138"/>
      <c r="D102" s="155"/>
      <c r="E102" s="171"/>
      <c r="F102" s="171"/>
      <c r="G102" s="144"/>
    </row>
    <row r="103" spans="1:7" ht="16.5" thickBot="1">
      <c r="A103" s="22" t="s">
        <v>63</v>
      </c>
      <c r="B103" s="129" t="s">
        <v>77</v>
      </c>
      <c r="C103" s="138"/>
      <c r="D103" s="155"/>
      <c r="E103" s="171"/>
      <c r="F103" s="127" t="s">
        <v>62</v>
      </c>
      <c r="G103" s="127">
        <f>SUM(G98:G101)</f>
        <v>0</v>
      </c>
    </row>
    <row r="104" spans="1:7" ht="12.75" customHeight="1" thickTop="1">
      <c r="A104" s="48"/>
      <c r="B104" s="20"/>
      <c r="C104" s="138"/>
      <c r="D104" s="155"/>
      <c r="E104" s="171"/>
      <c r="F104" s="171"/>
      <c r="G104" s="144"/>
    </row>
    <row r="105" spans="1:7" ht="12.75" customHeight="1">
      <c r="A105" s="48"/>
      <c r="B105" s="20"/>
      <c r="C105" s="138"/>
      <c r="D105" s="155"/>
      <c r="E105" s="171"/>
      <c r="F105" s="171"/>
      <c r="G105" s="144"/>
    </row>
    <row r="106" spans="1:7" ht="12.75" customHeight="1">
      <c r="A106" s="48"/>
      <c r="B106" s="59"/>
      <c r="C106" s="131"/>
      <c r="D106" s="155"/>
      <c r="E106" s="171"/>
      <c r="F106" s="171"/>
      <c r="G106" s="144"/>
    </row>
    <row r="107" spans="1:7" ht="12.75" customHeight="1">
      <c r="A107" s="48"/>
      <c r="B107" s="52"/>
      <c r="C107" s="131"/>
      <c r="D107" s="155"/>
      <c r="E107" s="171"/>
      <c r="F107" s="171"/>
      <c r="G107" s="144"/>
    </row>
    <row r="108" spans="1:7" ht="12.75" customHeight="1">
      <c r="A108" s="48"/>
      <c r="B108" s="52"/>
      <c r="C108" s="131"/>
      <c r="D108" s="155"/>
      <c r="E108" s="171"/>
      <c r="F108" s="171"/>
      <c r="G108" s="144"/>
    </row>
    <row r="110" spans="1:7" ht="12.75" customHeight="1">
      <c r="B110" s="69"/>
      <c r="C110" s="134"/>
      <c r="D110" s="130"/>
      <c r="E110" s="130"/>
      <c r="F110" s="160"/>
      <c r="G110" s="154"/>
    </row>
    <row r="112" spans="1:7" ht="12.75" customHeight="1">
      <c r="B112" s="64"/>
      <c r="C112" s="139"/>
      <c r="D112" s="166"/>
      <c r="E112" s="166"/>
      <c r="F112" s="167"/>
      <c r="G112" s="147"/>
    </row>
  </sheetData>
  <conditionalFormatting sqref="F8:F95">
    <cfRule type="cellIs" dxfId="9" priority="1" operator="equal">
      <formula>0</formula>
    </cfRule>
  </conditionalFormatting>
  <pageMargins left="0.78740157480314965" right="0.19685039370078741" top="0.39370078740157483" bottom="0.59055118110236227" header="0" footer="0.19685039370078741"/>
  <pageSetup paperSize="9" orientation="portrait" r:id="rId1"/>
  <headerFooter>
    <oddFooter>Stran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G209"/>
  <sheetViews>
    <sheetView showZeros="0" topLeftCell="A98" workbookViewId="0">
      <selection activeCell="F107" sqref="F8:F107"/>
    </sheetView>
  </sheetViews>
  <sheetFormatPr defaultRowHeight="12.75" customHeight="1"/>
  <cols>
    <col min="1" max="1" width="4.7109375" style="79" customWidth="1"/>
    <col min="2" max="2" width="30.7109375" style="79" customWidth="1"/>
    <col min="3" max="3" width="4.7109375" style="177" customWidth="1"/>
    <col min="4" max="4" width="14.7109375" style="454" customWidth="1"/>
    <col min="5" max="5" width="12.7109375" style="140" customWidth="1"/>
    <col min="6" max="6" width="11.7109375" style="140" customWidth="1"/>
    <col min="7" max="7" width="12.7109375" style="141" customWidth="1"/>
    <col min="243" max="243" width="4.7109375" customWidth="1"/>
    <col min="244" max="244" width="30.7109375" customWidth="1"/>
    <col min="245" max="245" width="4.7109375" customWidth="1"/>
    <col min="246" max="246" width="13.7109375" customWidth="1"/>
    <col min="247" max="249" width="12.7109375" customWidth="1"/>
    <col min="251" max="251" width="21" customWidth="1"/>
    <col min="252" max="252" width="36.5703125" customWidth="1"/>
    <col min="499" max="499" width="4.7109375" customWidth="1"/>
    <col min="500" max="500" width="30.7109375" customWidth="1"/>
    <col min="501" max="501" width="4.7109375" customWidth="1"/>
    <col min="502" max="502" width="13.7109375" customWidth="1"/>
    <col min="503" max="505" width="12.7109375" customWidth="1"/>
    <col min="507" max="507" width="21" customWidth="1"/>
    <col min="508" max="508" width="36.5703125" customWidth="1"/>
    <col min="755" max="755" width="4.7109375" customWidth="1"/>
    <col min="756" max="756" width="30.7109375" customWidth="1"/>
    <col min="757" max="757" width="4.7109375" customWidth="1"/>
    <col min="758" max="758" width="13.7109375" customWidth="1"/>
    <col min="759" max="761" width="12.7109375" customWidth="1"/>
    <col min="763" max="763" width="21" customWidth="1"/>
    <col min="764" max="764" width="36.5703125" customWidth="1"/>
    <col min="1011" max="1011" width="4.7109375" customWidth="1"/>
    <col min="1012" max="1012" width="30.7109375" customWidth="1"/>
    <col min="1013" max="1013" width="4.7109375" customWidth="1"/>
    <col min="1014" max="1014" width="13.7109375" customWidth="1"/>
    <col min="1015" max="1017" width="12.7109375" customWidth="1"/>
    <col min="1019" max="1019" width="21" customWidth="1"/>
    <col min="1020" max="1020" width="36.5703125" customWidth="1"/>
    <col min="1267" max="1267" width="4.7109375" customWidth="1"/>
    <col min="1268" max="1268" width="30.7109375" customWidth="1"/>
    <col min="1269" max="1269" width="4.7109375" customWidth="1"/>
    <col min="1270" max="1270" width="13.7109375" customWidth="1"/>
    <col min="1271" max="1273" width="12.7109375" customWidth="1"/>
    <col min="1275" max="1275" width="21" customWidth="1"/>
    <col min="1276" max="1276" width="36.5703125" customWidth="1"/>
    <col min="1523" max="1523" width="4.7109375" customWidth="1"/>
    <col min="1524" max="1524" width="30.7109375" customWidth="1"/>
    <col min="1525" max="1525" width="4.7109375" customWidth="1"/>
    <col min="1526" max="1526" width="13.7109375" customWidth="1"/>
    <col min="1527" max="1529" width="12.7109375" customWidth="1"/>
    <col min="1531" max="1531" width="21" customWidth="1"/>
    <col min="1532" max="1532" width="36.5703125" customWidth="1"/>
    <col min="1779" max="1779" width="4.7109375" customWidth="1"/>
    <col min="1780" max="1780" width="30.7109375" customWidth="1"/>
    <col min="1781" max="1781" width="4.7109375" customWidth="1"/>
    <col min="1782" max="1782" width="13.7109375" customWidth="1"/>
    <col min="1783" max="1785" width="12.7109375" customWidth="1"/>
    <col min="1787" max="1787" width="21" customWidth="1"/>
    <col min="1788" max="1788" width="36.5703125" customWidth="1"/>
    <col min="2035" max="2035" width="4.7109375" customWidth="1"/>
    <col min="2036" max="2036" width="30.7109375" customWidth="1"/>
    <col min="2037" max="2037" width="4.7109375" customWidth="1"/>
    <col min="2038" max="2038" width="13.7109375" customWidth="1"/>
    <col min="2039" max="2041" width="12.7109375" customWidth="1"/>
    <col min="2043" max="2043" width="21" customWidth="1"/>
    <col min="2044" max="2044" width="36.5703125" customWidth="1"/>
    <col min="2291" max="2291" width="4.7109375" customWidth="1"/>
    <col min="2292" max="2292" width="30.7109375" customWidth="1"/>
    <col min="2293" max="2293" width="4.7109375" customWidth="1"/>
    <col min="2294" max="2294" width="13.7109375" customWidth="1"/>
    <col min="2295" max="2297" width="12.7109375" customWidth="1"/>
    <col min="2299" max="2299" width="21" customWidth="1"/>
    <col min="2300" max="2300" width="36.5703125" customWidth="1"/>
    <col min="2547" max="2547" width="4.7109375" customWidth="1"/>
    <col min="2548" max="2548" width="30.7109375" customWidth="1"/>
    <col min="2549" max="2549" width="4.7109375" customWidth="1"/>
    <col min="2550" max="2550" width="13.7109375" customWidth="1"/>
    <col min="2551" max="2553" width="12.7109375" customWidth="1"/>
    <col min="2555" max="2555" width="21" customWidth="1"/>
    <col min="2556" max="2556" width="36.5703125" customWidth="1"/>
    <col min="2803" max="2803" width="4.7109375" customWidth="1"/>
    <col min="2804" max="2804" width="30.7109375" customWidth="1"/>
    <col min="2805" max="2805" width="4.7109375" customWidth="1"/>
    <col min="2806" max="2806" width="13.7109375" customWidth="1"/>
    <col min="2807" max="2809" width="12.7109375" customWidth="1"/>
    <col min="2811" max="2811" width="21" customWidth="1"/>
    <col min="2812" max="2812" width="36.5703125" customWidth="1"/>
    <col min="3059" max="3059" width="4.7109375" customWidth="1"/>
    <col min="3060" max="3060" width="30.7109375" customWidth="1"/>
    <col min="3061" max="3061" width="4.7109375" customWidth="1"/>
    <col min="3062" max="3062" width="13.7109375" customWidth="1"/>
    <col min="3063" max="3065" width="12.7109375" customWidth="1"/>
    <col min="3067" max="3067" width="21" customWidth="1"/>
    <col min="3068" max="3068" width="36.5703125" customWidth="1"/>
    <col min="3315" max="3315" width="4.7109375" customWidth="1"/>
    <col min="3316" max="3316" width="30.7109375" customWidth="1"/>
    <col min="3317" max="3317" width="4.7109375" customWidth="1"/>
    <col min="3318" max="3318" width="13.7109375" customWidth="1"/>
    <col min="3319" max="3321" width="12.7109375" customWidth="1"/>
    <col min="3323" max="3323" width="21" customWidth="1"/>
    <col min="3324" max="3324" width="36.5703125" customWidth="1"/>
    <col min="3571" max="3571" width="4.7109375" customWidth="1"/>
    <col min="3572" max="3572" width="30.7109375" customWidth="1"/>
    <col min="3573" max="3573" width="4.7109375" customWidth="1"/>
    <col min="3574" max="3574" width="13.7109375" customWidth="1"/>
    <col min="3575" max="3577" width="12.7109375" customWidth="1"/>
    <col min="3579" max="3579" width="21" customWidth="1"/>
    <col min="3580" max="3580" width="36.5703125" customWidth="1"/>
    <col min="3827" max="3827" width="4.7109375" customWidth="1"/>
    <col min="3828" max="3828" width="30.7109375" customWidth="1"/>
    <col min="3829" max="3829" width="4.7109375" customWidth="1"/>
    <col min="3830" max="3830" width="13.7109375" customWidth="1"/>
    <col min="3831" max="3833" width="12.7109375" customWidth="1"/>
    <col min="3835" max="3835" width="21" customWidth="1"/>
    <col min="3836" max="3836" width="36.5703125" customWidth="1"/>
    <col min="4083" max="4083" width="4.7109375" customWidth="1"/>
    <col min="4084" max="4084" width="30.7109375" customWidth="1"/>
    <col min="4085" max="4085" width="4.7109375" customWidth="1"/>
    <col min="4086" max="4086" width="13.7109375" customWidth="1"/>
    <col min="4087" max="4089" width="12.7109375" customWidth="1"/>
    <col min="4091" max="4091" width="21" customWidth="1"/>
    <col min="4092" max="4092" width="36.5703125" customWidth="1"/>
    <col min="4339" max="4339" width="4.7109375" customWidth="1"/>
    <col min="4340" max="4340" width="30.7109375" customWidth="1"/>
    <col min="4341" max="4341" width="4.7109375" customWidth="1"/>
    <col min="4342" max="4342" width="13.7109375" customWidth="1"/>
    <col min="4343" max="4345" width="12.7109375" customWidth="1"/>
    <col min="4347" max="4347" width="21" customWidth="1"/>
    <col min="4348" max="4348" width="36.5703125" customWidth="1"/>
    <col min="4595" max="4595" width="4.7109375" customWidth="1"/>
    <col min="4596" max="4596" width="30.7109375" customWidth="1"/>
    <col min="4597" max="4597" width="4.7109375" customWidth="1"/>
    <col min="4598" max="4598" width="13.7109375" customWidth="1"/>
    <col min="4599" max="4601" width="12.7109375" customWidth="1"/>
    <col min="4603" max="4603" width="21" customWidth="1"/>
    <col min="4604" max="4604" width="36.5703125" customWidth="1"/>
    <col min="4851" max="4851" width="4.7109375" customWidth="1"/>
    <col min="4852" max="4852" width="30.7109375" customWidth="1"/>
    <col min="4853" max="4853" width="4.7109375" customWidth="1"/>
    <col min="4854" max="4854" width="13.7109375" customWidth="1"/>
    <col min="4855" max="4857" width="12.7109375" customWidth="1"/>
    <col min="4859" max="4859" width="21" customWidth="1"/>
    <col min="4860" max="4860" width="36.5703125" customWidth="1"/>
    <col min="5107" max="5107" width="4.7109375" customWidth="1"/>
    <col min="5108" max="5108" width="30.7109375" customWidth="1"/>
    <col min="5109" max="5109" width="4.7109375" customWidth="1"/>
    <col min="5110" max="5110" width="13.7109375" customWidth="1"/>
    <col min="5111" max="5113" width="12.7109375" customWidth="1"/>
    <col min="5115" max="5115" width="21" customWidth="1"/>
    <col min="5116" max="5116" width="36.5703125" customWidth="1"/>
    <col min="5363" max="5363" width="4.7109375" customWidth="1"/>
    <col min="5364" max="5364" width="30.7109375" customWidth="1"/>
    <col min="5365" max="5365" width="4.7109375" customWidth="1"/>
    <col min="5366" max="5366" width="13.7109375" customWidth="1"/>
    <col min="5367" max="5369" width="12.7109375" customWidth="1"/>
    <col min="5371" max="5371" width="21" customWidth="1"/>
    <col min="5372" max="5372" width="36.5703125" customWidth="1"/>
    <col min="5619" max="5619" width="4.7109375" customWidth="1"/>
    <col min="5620" max="5620" width="30.7109375" customWidth="1"/>
    <col min="5621" max="5621" width="4.7109375" customWidth="1"/>
    <col min="5622" max="5622" width="13.7109375" customWidth="1"/>
    <col min="5623" max="5625" width="12.7109375" customWidth="1"/>
    <col min="5627" max="5627" width="21" customWidth="1"/>
    <col min="5628" max="5628" width="36.5703125" customWidth="1"/>
    <col min="5875" max="5875" width="4.7109375" customWidth="1"/>
    <col min="5876" max="5876" width="30.7109375" customWidth="1"/>
    <col min="5877" max="5877" width="4.7109375" customWidth="1"/>
    <col min="5878" max="5878" width="13.7109375" customWidth="1"/>
    <col min="5879" max="5881" width="12.7109375" customWidth="1"/>
    <col min="5883" max="5883" width="21" customWidth="1"/>
    <col min="5884" max="5884" width="36.5703125" customWidth="1"/>
    <col min="6131" max="6131" width="4.7109375" customWidth="1"/>
    <col min="6132" max="6132" width="30.7109375" customWidth="1"/>
    <col min="6133" max="6133" width="4.7109375" customWidth="1"/>
    <col min="6134" max="6134" width="13.7109375" customWidth="1"/>
    <col min="6135" max="6137" width="12.7109375" customWidth="1"/>
    <col min="6139" max="6139" width="21" customWidth="1"/>
    <col min="6140" max="6140" width="36.5703125" customWidth="1"/>
    <col min="6387" max="6387" width="4.7109375" customWidth="1"/>
    <col min="6388" max="6388" width="30.7109375" customWidth="1"/>
    <col min="6389" max="6389" width="4.7109375" customWidth="1"/>
    <col min="6390" max="6390" width="13.7109375" customWidth="1"/>
    <col min="6391" max="6393" width="12.7109375" customWidth="1"/>
    <col min="6395" max="6395" width="21" customWidth="1"/>
    <col min="6396" max="6396" width="36.5703125" customWidth="1"/>
    <col min="6643" max="6643" width="4.7109375" customWidth="1"/>
    <col min="6644" max="6644" width="30.7109375" customWidth="1"/>
    <col min="6645" max="6645" width="4.7109375" customWidth="1"/>
    <col min="6646" max="6646" width="13.7109375" customWidth="1"/>
    <col min="6647" max="6649" width="12.7109375" customWidth="1"/>
    <col min="6651" max="6651" width="21" customWidth="1"/>
    <col min="6652" max="6652" width="36.5703125" customWidth="1"/>
    <col min="6899" max="6899" width="4.7109375" customWidth="1"/>
    <col min="6900" max="6900" width="30.7109375" customWidth="1"/>
    <col min="6901" max="6901" width="4.7109375" customWidth="1"/>
    <col min="6902" max="6902" width="13.7109375" customWidth="1"/>
    <col min="6903" max="6905" width="12.7109375" customWidth="1"/>
    <col min="6907" max="6907" width="21" customWidth="1"/>
    <col min="6908" max="6908" width="36.5703125" customWidth="1"/>
    <col min="7155" max="7155" width="4.7109375" customWidth="1"/>
    <col min="7156" max="7156" width="30.7109375" customWidth="1"/>
    <col min="7157" max="7157" width="4.7109375" customWidth="1"/>
    <col min="7158" max="7158" width="13.7109375" customWidth="1"/>
    <col min="7159" max="7161" width="12.7109375" customWidth="1"/>
    <col min="7163" max="7163" width="21" customWidth="1"/>
    <col min="7164" max="7164" width="36.5703125" customWidth="1"/>
    <col min="7411" max="7411" width="4.7109375" customWidth="1"/>
    <col min="7412" max="7412" width="30.7109375" customWidth="1"/>
    <col min="7413" max="7413" width="4.7109375" customWidth="1"/>
    <col min="7414" max="7414" width="13.7109375" customWidth="1"/>
    <col min="7415" max="7417" width="12.7109375" customWidth="1"/>
    <col min="7419" max="7419" width="21" customWidth="1"/>
    <col min="7420" max="7420" width="36.5703125" customWidth="1"/>
    <col min="7667" max="7667" width="4.7109375" customWidth="1"/>
    <col min="7668" max="7668" width="30.7109375" customWidth="1"/>
    <col min="7669" max="7669" width="4.7109375" customWidth="1"/>
    <col min="7670" max="7670" width="13.7109375" customWidth="1"/>
    <col min="7671" max="7673" width="12.7109375" customWidth="1"/>
    <col min="7675" max="7675" width="21" customWidth="1"/>
    <col min="7676" max="7676" width="36.5703125" customWidth="1"/>
    <col min="7923" max="7923" width="4.7109375" customWidth="1"/>
    <col min="7924" max="7924" width="30.7109375" customWidth="1"/>
    <col min="7925" max="7925" width="4.7109375" customWidth="1"/>
    <col min="7926" max="7926" width="13.7109375" customWidth="1"/>
    <col min="7927" max="7929" width="12.7109375" customWidth="1"/>
    <col min="7931" max="7931" width="21" customWidth="1"/>
    <col min="7932" max="7932" width="36.5703125" customWidth="1"/>
    <col min="8179" max="8179" width="4.7109375" customWidth="1"/>
    <col min="8180" max="8180" width="30.7109375" customWidth="1"/>
    <col min="8181" max="8181" width="4.7109375" customWidth="1"/>
    <col min="8182" max="8182" width="13.7109375" customWidth="1"/>
    <col min="8183" max="8185" width="12.7109375" customWidth="1"/>
    <col min="8187" max="8187" width="21" customWidth="1"/>
    <col min="8188" max="8188" width="36.5703125" customWidth="1"/>
    <col min="8435" max="8435" width="4.7109375" customWidth="1"/>
    <col min="8436" max="8436" width="30.7109375" customWidth="1"/>
    <col min="8437" max="8437" width="4.7109375" customWidth="1"/>
    <col min="8438" max="8438" width="13.7109375" customWidth="1"/>
    <col min="8439" max="8441" width="12.7109375" customWidth="1"/>
    <col min="8443" max="8443" width="21" customWidth="1"/>
    <col min="8444" max="8444" width="36.5703125" customWidth="1"/>
    <col min="8691" max="8691" width="4.7109375" customWidth="1"/>
    <col min="8692" max="8692" width="30.7109375" customWidth="1"/>
    <col min="8693" max="8693" width="4.7109375" customWidth="1"/>
    <col min="8694" max="8694" width="13.7109375" customWidth="1"/>
    <col min="8695" max="8697" width="12.7109375" customWidth="1"/>
    <col min="8699" max="8699" width="21" customWidth="1"/>
    <col min="8700" max="8700" width="36.5703125" customWidth="1"/>
    <col min="8947" max="8947" width="4.7109375" customWidth="1"/>
    <col min="8948" max="8948" width="30.7109375" customWidth="1"/>
    <col min="8949" max="8949" width="4.7109375" customWidth="1"/>
    <col min="8950" max="8950" width="13.7109375" customWidth="1"/>
    <col min="8951" max="8953" width="12.7109375" customWidth="1"/>
    <col min="8955" max="8955" width="21" customWidth="1"/>
    <col min="8956" max="8956" width="36.5703125" customWidth="1"/>
    <col min="9203" max="9203" width="4.7109375" customWidth="1"/>
    <col min="9204" max="9204" width="30.7109375" customWidth="1"/>
    <col min="9205" max="9205" width="4.7109375" customWidth="1"/>
    <col min="9206" max="9206" width="13.7109375" customWidth="1"/>
    <col min="9207" max="9209" width="12.7109375" customWidth="1"/>
    <col min="9211" max="9211" width="21" customWidth="1"/>
    <col min="9212" max="9212" width="36.5703125" customWidth="1"/>
    <col min="9459" max="9459" width="4.7109375" customWidth="1"/>
    <col min="9460" max="9460" width="30.7109375" customWidth="1"/>
    <col min="9461" max="9461" width="4.7109375" customWidth="1"/>
    <col min="9462" max="9462" width="13.7109375" customWidth="1"/>
    <col min="9463" max="9465" width="12.7109375" customWidth="1"/>
    <col min="9467" max="9467" width="21" customWidth="1"/>
    <col min="9468" max="9468" width="36.5703125" customWidth="1"/>
    <col min="9715" max="9715" width="4.7109375" customWidth="1"/>
    <col min="9716" max="9716" width="30.7109375" customWidth="1"/>
    <col min="9717" max="9717" width="4.7109375" customWidth="1"/>
    <col min="9718" max="9718" width="13.7109375" customWidth="1"/>
    <col min="9719" max="9721" width="12.7109375" customWidth="1"/>
    <col min="9723" max="9723" width="21" customWidth="1"/>
    <col min="9724" max="9724" width="36.5703125" customWidth="1"/>
    <col min="9971" max="9971" width="4.7109375" customWidth="1"/>
    <col min="9972" max="9972" width="30.7109375" customWidth="1"/>
    <col min="9973" max="9973" width="4.7109375" customWidth="1"/>
    <col min="9974" max="9974" width="13.7109375" customWidth="1"/>
    <col min="9975" max="9977" width="12.7109375" customWidth="1"/>
    <col min="9979" max="9979" width="21" customWidth="1"/>
    <col min="9980" max="9980" width="36.5703125" customWidth="1"/>
    <col min="10227" max="10227" width="4.7109375" customWidth="1"/>
    <col min="10228" max="10228" width="30.7109375" customWidth="1"/>
    <col min="10229" max="10229" width="4.7109375" customWidth="1"/>
    <col min="10230" max="10230" width="13.7109375" customWidth="1"/>
    <col min="10231" max="10233" width="12.7109375" customWidth="1"/>
    <col min="10235" max="10235" width="21" customWidth="1"/>
    <col min="10236" max="10236" width="36.5703125" customWidth="1"/>
    <col min="10483" max="10483" width="4.7109375" customWidth="1"/>
    <col min="10484" max="10484" width="30.7109375" customWidth="1"/>
    <col min="10485" max="10485" width="4.7109375" customWidth="1"/>
    <col min="10486" max="10486" width="13.7109375" customWidth="1"/>
    <col min="10487" max="10489" width="12.7109375" customWidth="1"/>
    <col min="10491" max="10491" width="21" customWidth="1"/>
    <col min="10492" max="10492" width="36.5703125" customWidth="1"/>
    <col min="10739" max="10739" width="4.7109375" customWidth="1"/>
    <col min="10740" max="10740" width="30.7109375" customWidth="1"/>
    <col min="10741" max="10741" width="4.7109375" customWidth="1"/>
    <col min="10742" max="10742" width="13.7109375" customWidth="1"/>
    <col min="10743" max="10745" width="12.7109375" customWidth="1"/>
    <col min="10747" max="10747" width="21" customWidth="1"/>
    <col min="10748" max="10748" width="36.5703125" customWidth="1"/>
    <col min="10995" max="10995" width="4.7109375" customWidth="1"/>
    <col min="10996" max="10996" width="30.7109375" customWidth="1"/>
    <col min="10997" max="10997" width="4.7109375" customWidth="1"/>
    <col min="10998" max="10998" width="13.7109375" customWidth="1"/>
    <col min="10999" max="11001" width="12.7109375" customWidth="1"/>
    <col min="11003" max="11003" width="21" customWidth="1"/>
    <col min="11004" max="11004" width="36.5703125" customWidth="1"/>
    <col min="11251" max="11251" width="4.7109375" customWidth="1"/>
    <col min="11252" max="11252" width="30.7109375" customWidth="1"/>
    <col min="11253" max="11253" width="4.7109375" customWidth="1"/>
    <col min="11254" max="11254" width="13.7109375" customWidth="1"/>
    <col min="11255" max="11257" width="12.7109375" customWidth="1"/>
    <col min="11259" max="11259" width="21" customWidth="1"/>
    <col min="11260" max="11260" width="36.5703125" customWidth="1"/>
    <col min="11507" max="11507" width="4.7109375" customWidth="1"/>
    <col min="11508" max="11508" width="30.7109375" customWidth="1"/>
    <col min="11509" max="11509" width="4.7109375" customWidth="1"/>
    <col min="11510" max="11510" width="13.7109375" customWidth="1"/>
    <col min="11511" max="11513" width="12.7109375" customWidth="1"/>
    <col min="11515" max="11515" width="21" customWidth="1"/>
    <col min="11516" max="11516" width="36.5703125" customWidth="1"/>
    <col min="11763" max="11763" width="4.7109375" customWidth="1"/>
    <col min="11764" max="11764" width="30.7109375" customWidth="1"/>
    <col min="11765" max="11765" width="4.7109375" customWidth="1"/>
    <col min="11766" max="11766" width="13.7109375" customWidth="1"/>
    <col min="11767" max="11769" width="12.7109375" customWidth="1"/>
    <col min="11771" max="11771" width="21" customWidth="1"/>
    <col min="11772" max="11772" width="36.5703125" customWidth="1"/>
    <col min="12019" max="12019" width="4.7109375" customWidth="1"/>
    <col min="12020" max="12020" width="30.7109375" customWidth="1"/>
    <col min="12021" max="12021" width="4.7109375" customWidth="1"/>
    <col min="12022" max="12022" width="13.7109375" customWidth="1"/>
    <col min="12023" max="12025" width="12.7109375" customWidth="1"/>
    <col min="12027" max="12027" width="21" customWidth="1"/>
    <col min="12028" max="12028" width="36.5703125" customWidth="1"/>
    <col min="12275" max="12275" width="4.7109375" customWidth="1"/>
    <col min="12276" max="12276" width="30.7109375" customWidth="1"/>
    <col min="12277" max="12277" width="4.7109375" customWidth="1"/>
    <col min="12278" max="12278" width="13.7109375" customWidth="1"/>
    <col min="12279" max="12281" width="12.7109375" customWidth="1"/>
    <col min="12283" max="12283" width="21" customWidth="1"/>
    <col min="12284" max="12284" width="36.5703125" customWidth="1"/>
    <col min="12531" max="12531" width="4.7109375" customWidth="1"/>
    <col min="12532" max="12532" width="30.7109375" customWidth="1"/>
    <col min="12533" max="12533" width="4.7109375" customWidth="1"/>
    <col min="12534" max="12534" width="13.7109375" customWidth="1"/>
    <col min="12535" max="12537" width="12.7109375" customWidth="1"/>
    <col min="12539" max="12539" width="21" customWidth="1"/>
    <col min="12540" max="12540" width="36.5703125" customWidth="1"/>
    <col min="12787" max="12787" width="4.7109375" customWidth="1"/>
    <col min="12788" max="12788" width="30.7109375" customWidth="1"/>
    <col min="12789" max="12789" width="4.7109375" customWidth="1"/>
    <col min="12790" max="12790" width="13.7109375" customWidth="1"/>
    <col min="12791" max="12793" width="12.7109375" customWidth="1"/>
    <col min="12795" max="12795" width="21" customWidth="1"/>
    <col min="12796" max="12796" width="36.5703125" customWidth="1"/>
    <col min="13043" max="13043" width="4.7109375" customWidth="1"/>
    <col min="13044" max="13044" width="30.7109375" customWidth="1"/>
    <col min="13045" max="13045" width="4.7109375" customWidth="1"/>
    <col min="13046" max="13046" width="13.7109375" customWidth="1"/>
    <col min="13047" max="13049" width="12.7109375" customWidth="1"/>
    <col min="13051" max="13051" width="21" customWidth="1"/>
    <col min="13052" max="13052" width="36.5703125" customWidth="1"/>
    <col min="13299" max="13299" width="4.7109375" customWidth="1"/>
    <col min="13300" max="13300" width="30.7109375" customWidth="1"/>
    <col min="13301" max="13301" width="4.7109375" customWidth="1"/>
    <col min="13302" max="13302" width="13.7109375" customWidth="1"/>
    <col min="13303" max="13305" width="12.7109375" customWidth="1"/>
    <col min="13307" max="13307" width="21" customWidth="1"/>
    <col min="13308" max="13308" width="36.5703125" customWidth="1"/>
    <col min="13555" max="13555" width="4.7109375" customWidth="1"/>
    <col min="13556" max="13556" width="30.7109375" customWidth="1"/>
    <col min="13557" max="13557" width="4.7109375" customWidth="1"/>
    <col min="13558" max="13558" width="13.7109375" customWidth="1"/>
    <col min="13559" max="13561" width="12.7109375" customWidth="1"/>
    <col min="13563" max="13563" width="21" customWidth="1"/>
    <col min="13564" max="13564" width="36.5703125" customWidth="1"/>
    <col min="13811" max="13811" width="4.7109375" customWidth="1"/>
    <col min="13812" max="13812" width="30.7109375" customWidth="1"/>
    <col min="13813" max="13813" width="4.7109375" customWidth="1"/>
    <col min="13814" max="13814" width="13.7109375" customWidth="1"/>
    <col min="13815" max="13817" width="12.7109375" customWidth="1"/>
    <col min="13819" max="13819" width="21" customWidth="1"/>
    <col min="13820" max="13820" width="36.5703125" customWidth="1"/>
    <col min="14067" max="14067" width="4.7109375" customWidth="1"/>
    <col min="14068" max="14068" width="30.7109375" customWidth="1"/>
    <col min="14069" max="14069" width="4.7109375" customWidth="1"/>
    <col min="14070" max="14070" width="13.7109375" customWidth="1"/>
    <col min="14071" max="14073" width="12.7109375" customWidth="1"/>
    <col min="14075" max="14075" width="21" customWidth="1"/>
    <col min="14076" max="14076" width="36.5703125" customWidth="1"/>
    <col min="14323" max="14323" width="4.7109375" customWidth="1"/>
    <col min="14324" max="14324" width="30.7109375" customWidth="1"/>
    <col min="14325" max="14325" width="4.7109375" customWidth="1"/>
    <col min="14326" max="14326" width="13.7109375" customWidth="1"/>
    <col min="14327" max="14329" width="12.7109375" customWidth="1"/>
    <col min="14331" max="14331" width="21" customWidth="1"/>
    <col min="14332" max="14332" width="36.5703125" customWidth="1"/>
    <col min="14579" max="14579" width="4.7109375" customWidth="1"/>
    <col min="14580" max="14580" width="30.7109375" customWidth="1"/>
    <col min="14581" max="14581" width="4.7109375" customWidth="1"/>
    <col min="14582" max="14582" width="13.7109375" customWidth="1"/>
    <col min="14583" max="14585" width="12.7109375" customWidth="1"/>
    <col min="14587" max="14587" width="21" customWidth="1"/>
    <col min="14588" max="14588" width="36.5703125" customWidth="1"/>
    <col min="14835" max="14835" width="4.7109375" customWidth="1"/>
    <col min="14836" max="14836" width="30.7109375" customWidth="1"/>
    <col min="14837" max="14837" width="4.7109375" customWidth="1"/>
    <col min="14838" max="14838" width="13.7109375" customWidth="1"/>
    <col min="14839" max="14841" width="12.7109375" customWidth="1"/>
    <col min="14843" max="14843" width="21" customWidth="1"/>
    <col min="14844" max="14844" width="36.5703125" customWidth="1"/>
    <col min="15091" max="15091" width="4.7109375" customWidth="1"/>
    <col min="15092" max="15092" width="30.7109375" customWidth="1"/>
    <col min="15093" max="15093" width="4.7109375" customWidth="1"/>
    <col min="15094" max="15094" width="13.7109375" customWidth="1"/>
    <col min="15095" max="15097" width="12.7109375" customWidth="1"/>
    <col min="15099" max="15099" width="21" customWidth="1"/>
    <col min="15100" max="15100" width="36.5703125" customWidth="1"/>
    <col min="15347" max="15347" width="4.7109375" customWidth="1"/>
    <col min="15348" max="15348" width="30.7109375" customWidth="1"/>
    <col min="15349" max="15349" width="4.7109375" customWidth="1"/>
    <col min="15350" max="15350" width="13.7109375" customWidth="1"/>
    <col min="15351" max="15353" width="12.7109375" customWidth="1"/>
    <col min="15355" max="15355" width="21" customWidth="1"/>
    <col min="15356" max="15356" width="36.5703125" customWidth="1"/>
    <col min="15603" max="15603" width="4.7109375" customWidth="1"/>
    <col min="15604" max="15604" width="30.7109375" customWidth="1"/>
    <col min="15605" max="15605" width="4.7109375" customWidth="1"/>
    <col min="15606" max="15606" width="13.7109375" customWidth="1"/>
    <col min="15607" max="15609" width="12.7109375" customWidth="1"/>
    <col min="15611" max="15611" width="21" customWidth="1"/>
    <col min="15612" max="15612" width="36.5703125" customWidth="1"/>
    <col min="15859" max="15859" width="4.7109375" customWidth="1"/>
    <col min="15860" max="15860" width="30.7109375" customWidth="1"/>
    <col min="15861" max="15861" width="4.7109375" customWidth="1"/>
    <col min="15862" max="15862" width="13.7109375" customWidth="1"/>
    <col min="15863" max="15865" width="12.7109375" customWidth="1"/>
    <col min="15867" max="15867" width="21" customWidth="1"/>
    <col min="15868" max="15868" width="36.5703125" customWidth="1"/>
    <col min="16115" max="16115" width="4.7109375" customWidth="1"/>
    <col min="16116" max="16116" width="30.7109375" customWidth="1"/>
    <col min="16117" max="16117" width="4.7109375" customWidth="1"/>
    <col min="16118" max="16118" width="13.7109375" customWidth="1"/>
    <col min="16119" max="16121" width="12.7109375" customWidth="1"/>
    <col min="16123" max="16123" width="21" customWidth="1"/>
    <col min="16124" max="16124" width="36.5703125" customWidth="1"/>
  </cols>
  <sheetData>
    <row r="1" spans="1:7" ht="12.75" customHeight="1">
      <c r="B1" s="104" t="s">
        <v>27</v>
      </c>
    </row>
    <row r="2" spans="1:7" ht="12.75" customHeight="1">
      <c r="B2" s="104" t="s">
        <v>28</v>
      </c>
    </row>
    <row r="3" spans="1:7" ht="12.75" customHeight="1">
      <c r="B3" s="105" t="s">
        <v>29</v>
      </c>
    </row>
    <row r="5" spans="1:7" ht="15.75">
      <c r="A5" s="22" t="s">
        <v>64</v>
      </c>
      <c r="B5" s="23" t="s">
        <v>13</v>
      </c>
      <c r="C5" s="131"/>
      <c r="D5" s="142"/>
      <c r="E5" s="143"/>
      <c r="F5" s="143"/>
      <c r="G5" s="195"/>
    </row>
    <row r="6" spans="1:7" ht="12.75" customHeight="1">
      <c r="A6" s="22"/>
      <c r="B6" s="23"/>
      <c r="C6" s="131"/>
      <c r="D6" s="142"/>
      <c r="E6" s="143"/>
      <c r="F6" s="143"/>
      <c r="G6" s="195"/>
    </row>
    <row r="7" spans="1:7" ht="255">
      <c r="A7" s="48">
        <v>1</v>
      </c>
      <c r="B7" s="20" t="s">
        <v>429</v>
      </c>
      <c r="C7" s="131"/>
      <c r="D7" s="142"/>
      <c r="E7" s="143"/>
      <c r="F7" s="143"/>
      <c r="G7" s="195"/>
    </row>
    <row r="8" spans="1:7" ht="12.75" customHeight="1">
      <c r="A8" s="22"/>
      <c r="B8" s="72" t="s">
        <v>80</v>
      </c>
      <c r="C8" s="131" t="s">
        <v>19</v>
      </c>
      <c r="D8" s="148">
        <v>0</v>
      </c>
      <c r="E8" s="143">
        <f t="shared" ref="E8:E11" si="0">+D8</f>
        <v>0</v>
      </c>
      <c r="F8" s="143"/>
      <c r="G8" s="195">
        <f t="shared" ref="G8:G11" si="1">E8*F8</f>
        <v>0</v>
      </c>
    </row>
    <row r="9" spans="1:7" ht="12.75" customHeight="1">
      <c r="A9" s="22"/>
      <c r="B9" s="72" t="s">
        <v>81</v>
      </c>
      <c r="C9" s="131" t="s">
        <v>19</v>
      </c>
      <c r="D9" s="148">
        <v>9</v>
      </c>
      <c r="E9" s="143">
        <f t="shared" si="0"/>
        <v>9</v>
      </c>
      <c r="F9" s="143"/>
      <c r="G9" s="195">
        <f t="shared" si="1"/>
        <v>0</v>
      </c>
    </row>
    <row r="10" spans="1:7" ht="12.75" customHeight="1">
      <c r="A10" s="22"/>
      <c r="B10" s="72" t="s">
        <v>83</v>
      </c>
      <c r="C10" s="131" t="s">
        <v>19</v>
      </c>
      <c r="D10" s="148">
        <v>4</v>
      </c>
      <c r="E10" s="143">
        <f t="shared" si="0"/>
        <v>4</v>
      </c>
      <c r="F10" s="143"/>
      <c r="G10" s="195">
        <f t="shared" si="1"/>
        <v>0</v>
      </c>
    </row>
    <row r="11" spans="1:7" ht="12.75" customHeight="1">
      <c r="A11" s="22"/>
      <c r="B11" s="72" t="s">
        <v>82</v>
      </c>
      <c r="C11" s="131" t="s">
        <v>19</v>
      </c>
      <c r="D11" s="148">
        <v>18</v>
      </c>
      <c r="E11" s="143">
        <f t="shared" si="0"/>
        <v>18</v>
      </c>
      <c r="F11" s="143"/>
      <c r="G11" s="195">
        <f t="shared" si="1"/>
        <v>0</v>
      </c>
    </row>
    <row r="12" spans="1:7" ht="12.75" customHeight="1">
      <c r="A12" s="48"/>
      <c r="B12" s="49"/>
      <c r="C12" s="131"/>
      <c r="D12" s="142"/>
      <c r="E12" s="143"/>
      <c r="F12" s="143"/>
      <c r="G12" s="195"/>
    </row>
    <row r="13" spans="1:7" ht="255">
      <c r="A13" s="48">
        <f>+A7+1</f>
        <v>2</v>
      </c>
      <c r="B13" s="20" t="s">
        <v>457</v>
      </c>
      <c r="C13" s="131"/>
      <c r="D13" s="148"/>
      <c r="E13" s="143"/>
      <c r="F13" s="143"/>
      <c r="G13" s="195"/>
    </row>
    <row r="14" spans="1:7" ht="12.75" customHeight="1">
      <c r="A14" s="48"/>
      <c r="B14" s="72" t="s">
        <v>80</v>
      </c>
      <c r="C14" s="131" t="s">
        <v>19</v>
      </c>
      <c r="D14" s="148">
        <v>0</v>
      </c>
      <c r="E14" s="143">
        <f>+D14</f>
        <v>0</v>
      </c>
      <c r="F14" s="143"/>
      <c r="G14" s="195">
        <f t="shared" ref="G14:G17" si="2">E14*F14</f>
        <v>0</v>
      </c>
    </row>
    <row r="15" spans="1:7" ht="12.75" customHeight="1">
      <c r="A15" s="48"/>
      <c r="B15" s="72" t="s">
        <v>81</v>
      </c>
      <c r="C15" s="131" t="s">
        <v>19</v>
      </c>
      <c r="D15" s="148">
        <v>82</v>
      </c>
      <c r="E15" s="143">
        <f t="shared" ref="E15:E17" si="3">+D15</f>
        <v>82</v>
      </c>
      <c r="F15" s="143"/>
      <c r="G15" s="195">
        <f t="shared" si="2"/>
        <v>0</v>
      </c>
    </row>
    <row r="16" spans="1:7" ht="12.75" customHeight="1">
      <c r="A16" s="48"/>
      <c r="B16" s="72" t="s">
        <v>83</v>
      </c>
      <c r="C16" s="131" t="s">
        <v>19</v>
      </c>
      <c r="D16" s="148">
        <v>50</v>
      </c>
      <c r="E16" s="143">
        <f t="shared" si="3"/>
        <v>50</v>
      </c>
      <c r="F16" s="143"/>
      <c r="G16" s="195">
        <f t="shared" si="2"/>
        <v>0</v>
      </c>
    </row>
    <row r="17" spans="1:7" ht="12.75" customHeight="1">
      <c r="A17" s="48"/>
      <c r="B17" s="72" t="s">
        <v>82</v>
      </c>
      <c r="C17" s="131" t="s">
        <v>19</v>
      </c>
      <c r="D17" s="148">
        <v>0</v>
      </c>
      <c r="E17" s="143">
        <f t="shared" si="3"/>
        <v>0</v>
      </c>
      <c r="F17" s="143"/>
      <c r="G17" s="195">
        <f t="shared" si="2"/>
        <v>0</v>
      </c>
    </row>
    <row r="18" spans="1:7" ht="12.75" customHeight="1">
      <c r="A18" s="48"/>
      <c r="B18" s="72"/>
      <c r="C18" s="131"/>
      <c r="D18" s="148"/>
      <c r="E18" s="143"/>
      <c r="F18" s="143"/>
      <c r="G18" s="195"/>
    </row>
    <row r="19" spans="1:7" ht="255">
      <c r="A19" s="48">
        <f>+A13+1</f>
        <v>3</v>
      </c>
      <c r="B19" s="20" t="s">
        <v>458</v>
      </c>
      <c r="C19" s="131"/>
      <c r="D19" s="148"/>
      <c r="E19" s="143"/>
      <c r="F19" s="143"/>
      <c r="G19" s="195"/>
    </row>
    <row r="20" spans="1:7" ht="12.75" customHeight="1">
      <c r="A20" s="48"/>
      <c r="B20" s="72" t="s">
        <v>80</v>
      </c>
      <c r="C20" s="131" t="s">
        <v>19</v>
      </c>
      <c r="D20" s="148">
        <v>174.7</v>
      </c>
      <c r="E20" s="143">
        <f>+D20</f>
        <v>174.7</v>
      </c>
      <c r="F20" s="143"/>
      <c r="G20" s="195">
        <f t="shared" ref="G20:G23" si="4">E20*F20</f>
        <v>0</v>
      </c>
    </row>
    <row r="21" spans="1:7" ht="12.75" customHeight="1">
      <c r="A21" s="48"/>
      <c r="B21" s="72" t="s">
        <v>81</v>
      </c>
      <c r="C21" s="131" t="s">
        <v>19</v>
      </c>
      <c r="D21" s="148">
        <v>0</v>
      </c>
      <c r="E21" s="143">
        <f t="shared" ref="E21:E23" si="5">+D21</f>
        <v>0</v>
      </c>
      <c r="F21" s="143"/>
      <c r="G21" s="195">
        <f t="shared" si="4"/>
        <v>0</v>
      </c>
    </row>
    <row r="22" spans="1:7" ht="12.75" customHeight="1">
      <c r="A22" s="48"/>
      <c r="B22" s="72" t="s">
        <v>83</v>
      </c>
      <c r="C22" s="131" t="s">
        <v>19</v>
      </c>
      <c r="D22" s="148">
        <v>0</v>
      </c>
      <c r="E22" s="143">
        <f t="shared" si="5"/>
        <v>0</v>
      </c>
      <c r="F22" s="143"/>
      <c r="G22" s="195">
        <f t="shared" si="4"/>
        <v>0</v>
      </c>
    </row>
    <row r="23" spans="1:7" ht="12.75" customHeight="1">
      <c r="A23" s="48"/>
      <c r="B23" s="72" t="s">
        <v>82</v>
      </c>
      <c r="C23" s="131" t="s">
        <v>19</v>
      </c>
      <c r="D23" s="148">
        <v>102</v>
      </c>
      <c r="E23" s="143">
        <f t="shared" si="5"/>
        <v>102</v>
      </c>
      <c r="F23" s="143"/>
      <c r="G23" s="195">
        <f t="shared" si="4"/>
        <v>0</v>
      </c>
    </row>
    <row r="24" spans="1:7" ht="12.75" customHeight="1">
      <c r="A24" s="48"/>
      <c r="B24" s="20"/>
      <c r="C24" s="131"/>
      <c r="D24" s="148"/>
      <c r="E24" s="143"/>
      <c r="F24" s="143"/>
      <c r="G24" s="195"/>
    </row>
    <row r="25" spans="1:7" ht="255">
      <c r="A25" s="48">
        <f>+A19+1</f>
        <v>4</v>
      </c>
      <c r="B25" s="20" t="s">
        <v>459</v>
      </c>
      <c r="C25" s="178"/>
      <c r="D25" s="268"/>
      <c r="E25" s="196"/>
      <c r="F25" s="197"/>
      <c r="G25" s="222"/>
    </row>
    <row r="26" spans="1:7" ht="12.75" customHeight="1">
      <c r="A26" s="48"/>
      <c r="B26" s="72" t="s">
        <v>80</v>
      </c>
      <c r="C26" s="178" t="s">
        <v>15</v>
      </c>
      <c r="D26" s="268">
        <v>0</v>
      </c>
      <c r="E26" s="196">
        <f t="shared" ref="E26:E29" si="6">+D26</f>
        <v>0</v>
      </c>
      <c r="F26" s="197"/>
      <c r="G26" s="222">
        <f t="shared" ref="G26:G29" si="7">E26*F26</f>
        <v>0</v>
      </c>
    </row>
    <row r="27" spans="1:7" ht="12.75" customHeight="1">
      <c r="A27" s="48"/>
      <c r="B27" s="72" t="s">
        <v>81</v>
      </c>
      <c r="C27" s="178" t="s">
        <v>15</v>
      </c>
      <c r="D27" s="268">
        <v>0</v>
      </c>
      <c r="E27" s="196">
        <f t="shared" si="6"/>
        <v>0</v>
      </c>
      <c r="F27" s="197"/>
      <c r="G27" s="222">
        <f t="shared" si="7"/>
        <v>0</v>
      </c>
    </row>
    <row r="28" spans="1:7" ht="12.75" customHeight="1">
      <c r="A28" s="48"/>
      <c r="B28" s="72" t="s">
        <v>83</v>
      </c>
      <c r="C28" s="178" t="s">
        <v>15</v>
      </c>
      <c r="D28" s="268">
        <v>0</v>
      </c>
      <c r="E28" s="196">
        <f t="shared" si="6"/>
        <v>0</v>
      </c>
      <c r="F28" s="197"/>
      <c r="G28" s="222">
        <f t="shared" si="7"/>
        <v>0</v>
      </c>
    </row>
    <row r="29" spans="1:7" ht="12.75" customHeight="1">
      <c r="A29" s="48"/>
      <c r="B29" s="72" t="s">
        <v>82</v>
      </c>
      <c r="C29" s="178" t="s">
        <v>15</v>
      </c>
      <c r="D29" s="268">
        <v>226</v>
      </c>
      <c r="E29" s="196">
        <f t="shared" si="6"/>
        <v>226</v>
      </c>
      <c r="F29" s="197"/>
      <c r="G29" s="222">
        <f t="shared" si="7"/>
        <v>0</v>
      </c>
    </row>
    <row r="30" spans="1:7" ht="12.75" customHeight="1">
      <c r="A30" s="48"/>
      <c r="B30" s="72"/>
      <c r="C30" s="178"/>
      <c r="D30" s="268"/>
      <c r="E30" s="196"/>
      <c r="F30" s="197"/>
      <c r="G30" s="222"/>
    </row>
    <row r="31" spans="1:7" ht="255">
      <c r="A31" s="48">
        <f>+A25+1</f>
        <v>5</v>
      </c>
      <c r="B31" s="20" t="s">
        <v>460</v>
      </c>
      <c r="C31" s="178"/>
      <c r="D31" s="268"/>
      <c r="E31" s="196"/>
      <c r="F31" s="197"/>
      <c r="G31" s="222"/>
    </row>
    <row r="32" spans="1:7" ht="12.75" customHeight="1">
      <c r="A32" s="48"/>
      <c r="B32" s="72" t="s">
        <v>80</v>
      </c>
      <c r="C32" s="178" t="s">
        <v>15</v>
      </c>
      <c r="D32" s="268">
        <v>0</v>
      </c>
      <c r="E32" s="196">
        <f t="shared" ref="E32:E35" si="8">+D32</f>
        <v>0</v>
      </c>
      <c r="F32" s="197"/>
      <c r="G32" s="222">
        <f t="shared" ref="G32:G35" si="9">E32*F32</f>
        <v>0</v>
      </c>
    </row>
    <row r="33" spans="1:7" ht="12.75" customHeight="1">
      <c r="A33" s="48"/>
      <c r="B33" s="72" t="s">
        <v>81</v>
      </c>
      <c r="C33" s="178" t="s">
        <v>15</v>
      </c>
      <c r="D33" s="268">
        <v>0</v>
      </c>
      <c r="E33" s="196">
        <f t="shared" si="8"/>
        <v>0</v>
      </c>
      <c r="F33" s="197"/>
      <c r="G33" s="222">
        <f t="shared" si="9"/>
        <v>0</v>
      </c>
    </row>
    <row r="34" spans="1:7" ht="12.75" customHeight="1">
      <c r="A34" s="48"/>
      <c r="B34" s="72" t="s">
        <v>83</v>
      </c>
      <c r="C34" s="178" t="s">
        <v>15</v>
      </c>
      <c r="D34" s="268">
        <v>0</v>
      </c>
      <c r="E34" s="196">
        <f t="shared" si="8"/>
        <v>0</v>
      </c>
      <c r="F34" s="197"/>
      <c r="G34" s="222">
        <f t="shared" si="9"/>
        <v>0</v>
      </c>
    </row>
    <row r="35" spans="1:7" ht="12.75" customHeight="1">
      <c r="A35" s="48"/>
      <c r="B35" s="72" t="s">
        <v>82</v>
      </c>
      <c r="C35" s="178" t="s">
        <v>15</v>
      </c>
      <c r="D35" s="268">
        <v>0</v>
      </c>
      <c r="E35" s="196">
        <f t="shared" si="8"/>
        <v>0</v>
      </c>
      <c r="F35" s="197"/>
      <c r="G35" s="222">
        <f t="shared" si="9"/>
        <v>0</v>
      </c>
    </row>
    <row r="36" spans="1:7" ht="12.75" customHeight="1">
      <c r="A36" s="48"/>
      <c r="B36" s="72"/>
      <c r="C36" s="178"/>
      <c r="D36" s="268"/>
      <c r="E36" s="196"/>
      <c r="F36" s="197"/>
      <c r="G36" s="222"/>
    </row>
    <row r="37" spans="1:7" ht="255">
      <c r="A37" s="48">
        <f>+A31+1</f>
        <v>6</v>
      </c>
      <c r="B37" s="20" t="s">
        <v>461</v>
      </c>
      <c r="C37" s="178"/>
      <c r="D37" s="268"/>
      <c r="E37" s="196"/>
      <c r="F37" s="197"/>
      <c r="G37" s="222"/>
    </row>
    <row r="38" spans="1:7" ht="12.75" customHeight="1">
      <c r="A38" s="48"/>
      <c r="B38" s="72" t="s">
        <v>80</v>
      </c>
      <c r="C38" s="178" t="s">
        <v>15</v>
      </c>
      <c r="D38" s="268">
        <v>0</v>
      </c>
      <c r="E38" s="196">
        <f t="shared" ref="E38:E41" si="10">+D38</f>
        <v>0</v>
      </c>
      <c r="F38" s="197"/>
      <c r="G38" s="222">
        <f t="shared" ref="G38:G41" si="11">E38*F38</f>
        <v>0</v>
      </c>
    </row>
    <row r="39" spans="1:7" ht="12.75" customHeight="1">
      <c r="A39" s="48"/>
      <c r="B39" s="72" t="s">
        <v>81</v>
      </c>
      <c r="C39" s="178" t="s">
        <v>15</v>
      </c>
      <c r="D39" s="268">
        <v>0</v>
      </c>
      <c r="E39" s="196">
        <f t="shared" si="10"/>
        <v>0</v>
      </c>
      <c r="F39" s="197"/>
      <c r="G39" s="222">
        <f t="shared" si="11"/>
        <v>0</v>
      </c>
    </row>
    <row r="40" spans="1:7" ht="12.75" customHeight="1">
      <c r="A40" s="48"/>
      <c r="B40" s="72" t="s">
        <v>83</v>
      </c>
      <c r="C40" s="178" t="s">
        <v>15</v>
      </c>
      <c r="D40" s="268">
        <v>0</v>
      </c>
      <c r="E40" s="196">
        <f t="shared" si="10"/>
        <v>0</v>
      </c>
      <c r="F40" s="197"/>
      <c r="G40" s="222">
        <f t="shared" si="11"/>
        <v>0</v>
      </c>
    </row>
    <row r="41" spans="1:7" ht="12.75" customHeight="1">
      <c r="A41" s="48"/>
      <c r="B41" s="72" t="s">
        <v>82</v>
      </c>
      <c r="C41" s="178" t="s">
        <v>15</v>
      </c>
      <c r="D41" s="268">
        <v>0</v>
      </c>
      <c r="E41" s="196">
        <f t="shared" si="10"/>
        <v>0</v>
      </c>
      <c r="F41" s="197"/>
      <c r="G41" s="222">
        <f t="shared" si="11"/>
        <v>0</v>
      </c>
    </row>
    <row r="42" spans="1:7" ht="12.75" customHeight="1">
      <c r="A42" s="48"/>
      <c r="B42" s="72"/>
      <c r="C42" s="178"/>
      <c r="D42" s="268"/>
      <c r="E42" s="196"/>
      <c r="F42" s="197"/>
      <c r="G42" s="222"/>
    </row>
    <row r="43" spans="1:7" ht="267.75">
      <c r="A43" s="48">
        <f>+A37+1</f>
        <v>7</v>
      </c>
      <c r="B43" s="71" t="s">
        <v>424</v>
      </c>
      <c r="C43" s="178"/>
      <c r="D43" s="268"/>
      <c r="E43" s="196"/>
      <c r="F43" s="198"/>
      <c r="G43" s="199"/>
    </row>
    <row r="44" spans="1:7" ht="12.75" customHeight="1">
      <c r="A44" s="48"/>
      <c r="B44" s="72" t="s">
        <v>80</v>
      </c>
      <c r="C44" s="178" t="s">
        <v>15</v>
      </c>
      <c r="D44" s="268">
        <v>8</v>
      </c>
      <c r="E44" s="196">
        <f t="shared" ref="E44:E47" si="12">+D44</f>
        <v>8</v>
      </c>
      <c r="F44" s="198"/>
      <c r="G44" s="199">
        <f t="shared" ref="G44:G47" si="13">E44*F44</f>
        <v>0</v>
      </c>
    </row>
    <row r="45" spans="1:7" ht="12.75" customHeight="1">
      <c r="A45" s="48"/>
      <c r="B45" s="72" t="s">
        <v>81</v>
      </c>
      <c r="C45" s="178" t="s">
        <v>15</v>
      </c>
      <c r="D45" s="268">
        <v>4</v>
      </c>
      <c r="E45" s="196">
        <f t="shared" si="12"/>
        <v>4</v>
      </c>
      <c r="F45" s="198"/>
      <c r="G45" s="199">
        <f t="shared" si="13"/>
        <v>0</v>
      </c>
    </row>
    <row r="46" spans="1:7" ht="12.75" customHeight="1">
      <c r="A46" s="48"/>
      <c r="B46" s="72" t="s">
        <v>83</v>
      </c>
      <c r="C46" s="178" t="s">
        <v>15</v>
      </c>
      <c r="D46" s="268">
        <v>3</v>
      </c>
      <c r="E46" s="196">
        <f t="shared" si="12"/>
        <v>3</v>
      </c>
      <c r="F46" s="198"/>
      <c r="G46" s="199">
        <f t="shared" si="13"/>
        <v>0</v>
      </c>
    </row>
    <row r="47" spans="1:7" ht="12.75" customHeight="1">
      <c r="A47" s="48"/>
      <c r="B47" s="72" t="s">
        <v>82</v>
      </c>
      <c r="C47" s="178" t="s">
        <v>15</v>
      </c>
      <c r="D47" s="268">
        <v>12</v>
      </c>
      <c r="E47" s="196">
        <f t="shared" si="12"/>
        <v>12</v>
      </c>
      <c r="F47" s="198"/>
      <c r="G47" s="199">
        <f t="shared" si="13"/>
        <v>0</v>
      </c>
    </row>
    <row r="48" spans="1:7" ht="12.75" customHeight="1">
      <c r="A48" s="48"/>
      <c r="B48" s="49"/>
      <c r="C48" s="131"/>
      <c r="D48" s="142"/>
      <c r="E48" s="143"/>
      <c r="F48" s="143"/>
      <c r="G48" s="195"/>
    </row>
    <row r="49" spans="1:7" ht="267.75">
      <c r="A49" s="48">
        <f>+A43+1</f>
        <v>8</v>
      </c>
      <c r="B49" s="71" t="s">
        <v>425</v>
      </c>
      <c r="C49" s="131"/>
      <c r="D49" s="148"/>
      <c r="E49" s="201"/>
      <c r="F49" s="452"/>
      <c r="G49" s="202"/>
    </row>
    <row r="50" spans="1:7" ht="12.75" customHeight="1">
      <c r="A50" s="48"/>
      <c r="B50" s="72" t="s">
        <v>80</v>
      </c>
      <c r="C50" s="134" t="s">
        <v>15</v>
      </c>
      <c r="D50" s="203">
        <v>0</v>
      </c>
      <c r="E50" s="203">
        <f t="shared" ref="E50:E53" si="14">+D50</f>
        <v>0</v>
      </c>
      <c r="F50" s="203"/>
      <c r="G50" s="204">
        <f t="shared" ref="G50:G53" si="15">E50*F50</f>
        <v>0</v>
      </c>
    </row>
    <row r="51" spans="1:7" ht="12.75" customHeight="1">
      <c r="A51" s="48"/>
      <c r="B51" s="72" t="s">
        <v>81</v>
      </c>
      <c r="C51" s="134" t="s">
        <v>15</v>
      </c>
      <c r="D51" s="203">
        <v>0</v>
      </c>
      <c r="E51" s="203">
        <f t="shared" si="14"/>
        <v>0</v>
      </c>
      <c r="F51" s="203"/>
      <c r="G51" s="204">
        <f t="shared" si="15"/>
        <v>0</v>
      </c>
    </row>
    <row r="52" spans="1:7" ht="12.75" customHeight="1">
      <c r="A52" s="48"/>
      <c r="B52" s="72" t="s">
        <v>83</v>
      </c>
      <c r="C52" s="134" t="s">
        <v>15</v>
      </c>
      <c r="D52" s="203">
        <v>0</v>
      </c>
      <c r="E52" s="203">
        <f t="shared" si="14"/>
        <v>0</v>
      </c>
      <c r="F52" s="203"/>
      <c r="G52" s="204">
        <f t="shared" si="15"/>
        <v>0</v>
      </c>
    </row>
    <row r="53" spans="1:7" ht="12.75" customHeight="1">
      <c r="A53" s="48"/>
      <c r="B53" s="72" t="s">
        <v>82</v>
      </c>
      <c r="C53" s="134" t="s">
        <v>15</v>
      </c>
      <c r="D53" s="203">
        <v>4</v>
      </c>
      <c r="E53" s="203">
        <f t="shared" si="14"/>
        <v>4</v>
      </c>
      <c r="F53" s="203"/>
      <c r="G53" s="204">
        <f t="shared" si="15"/>
        <v>0</v>
      </c>
    </row>
    <row r="54" spans="1:7" ht="12.75" customHeight="1">
      <c r="A54" s="48"/>
      <c r="B54" s="52"/>
      <c r="C54" s="134"/>
      <c r="D54" s="151"/>
      <c r="E54" s="152"/>
      <c r="F54" s="149"/>
      <c r="G54" s="150"/>
    </row>
    <row r="55" spans="1:7" ht="257.25" customHeight="1">
      <c r="A55" s="48">
        <f>+A49+1</f>
        <v>9</v>
      </c>
      <c r="B55" s="71" t="s">
        <v>426</v>
      </c>
      <c r="C55" s="131"/>
      <c r="D55" s="148"/>
      <c r="E55" s="201"/>
      <c r="F55" s="452"/>
      <c r="G55" s="202"/>
    </row>
    <row r="56" spans="1:7" ht="12.75" customHeight="1">
      <c r="A56" s="48"/>
      <c r="B56" s="72" t="s">
        <v>80</v>
      </c>
      <c r="C56" s="134" t="s">
        <v>15</v>
      </c>
      <c r="D56" s="203">
        <v>0</v>
      </c>
      <c r="E56" s="203">
        <f t="shared" ref="E56:E59" si="16">+D56</f>
        <v>0</v>
      </c>
      <c r="F56" s="203"/>
      <c r="G56" s="204">
        <f t="shared" ref="G56:G59" si="17">E56*F56</f>
        <v>0</v>
      </c>
    </row>
    <row r="57" spans="1:7" ht="12.75" customHeight="1">
      <c r="A57" s="48"/>
      <c r="B57" s="72" t="s">
        <v>81</v>
      </c>
      <c r="C57" s="134" t="s">
        <v>15</v>
      </c>
      <c r="D57" s="203">
        <v>0</v>
      </c>
      <c r="E57" s="203">
        <f t="shared" si="16"/>
        <v>0</v>
      </c>
      <c r="F57" s="203"/>
      <c r="G57" s="204">
        <f t="shared" si="17"/>
        <v>0</v>
      </c>
    </row>
    <row r="58" spans="1:7" ht="12.75" customHeight="1">
      <c r="A58" s="48"/>
      <c r="B58" s="72" t="s">
        <v>83</v>
      </c>
      <c r="C58" s="134" t="s">
        <v>15</v>
      </c>
      <c r="D58" s="203">
        <v>0</v>
      </c>
      <c r="E58" s="203">
        <f t="shared" si="16"/>
        <v>0</v>
      </c>
      <c r="F58" s="203"/>
      <c r="G58" s="204">
        <f t="shared" si="17"/>
        <v>0</v>
      </c>
    </row>
    <row r="59" spans="1:7" ht="12.75" customHeight="1">
      <c r="A59" s="48"/>
      <c r="B59" s="72" t="s">
        <v>82</v>
      </c>
      <c r="C59" s="134" t="s">
        <v>15</v>
      </c>
      <c r="D59" s="203">
        <v>0</v>
      </c>
      <c r="E59" s="203">
        <f t="shared" si="16"/>
        <v>0</v>
      </c>
      <c r="F59" s="203"/>
      <c r="G59" s="204">
        <f t="shared" si="17"/>
        <v>0</v>
      </c>
    </row>
    <row r="60" spans="1:7" ht="12.75" customHeight="1">
      <c r="A60" s="48"/>
      <c r="B60" s="52"/>
      <c r="C60" s="134"/>
      <c r="D60" s="151"/>
      <c r="E60" s="152"/>
      <c r="F60" s="149"/>
      <c r="G60" s="150"/>
    </row>
    <row r="61" spans="1:7" ht="89.25">
      <c r="A61" s="48">
        <f>+A55+1</f>
        <v>10</v>
      </c>
      <c r="B61" s="73" t="s">
        <v>462</v>
      </c>
      <c r="C61" s="179"/>
      <c r="D61" s="151"/>
      <c r="E61" s="205"/>
      <c r="F61" s="188"/>
      <c r="G61" s="204"/>
    </row>
    <row r="62" spans="1:7" ht="12.75" customHeight="1">
      <c r="A62" s="48"/>
      <c r="B62" s="72" t="s">
        <v>80</v>
      </c>
      <c r="C62" s="179" t="s">
        <v>15</v>
      </c>
      <c r="D62" s="151">
        <v>40</v>
      </c>
      <c r="E62" s="205">
        <f>+D62</f>
        <v>40</v>
      </c>
      <c r="F62" s="188"/>
      <c r="G62" s="204">
        <f t="shared" ref="G62:G65" si="18">E62*F62</f>
        <v>0</v>
      </c>
    </row>
    <row r="63" spans="1:7" ht="12.75" customHeight="1">
      <c r="A63" s="48"/>
      <c r="B63" s="72" t="s">
        <v>81</v>
      </c>
      <c r="C63" s="179" t="s">
        <v>15</v>
      </c>
      <c r="D63" s="151">
        <v>2</v>
      </c>
      <c r="E63" s="205">
        <f t="shared" ref="E63:E65" si="19">+D63</f>
        <v>2</v>
      </c>
      <c r="F63" s="188"/>
      <c r="G63" s="204">
        <f t="shared" si="18"/>
        <v>0</v>
      </c>
    </row>
    <row r="64" spans="1:7" ht="12.75" customHeight="1">
      <c r="A64" s="48"/>
      <c r="B64" s="72" t="s">
        <v>83</v>
      </c>
      <c r="C64" s="179" t="s">
        <v>15</v>
      </c>
      <c r="D64" s="151">
        <v>3</v>
      </c>
      <c r="E64" s="205">
        <f t="shared" si="19"/>
        <v>3</v>
      </c>
      <c r="F64" s="188"/>
      <c r="G64" s="204">
        <f t="shared" si="18"/>
        <v>0</v>
      </c>
    </row>
    <row r="65" spans="1:7" ht="12.75" customHeight="1">
      <c r="A65" s="48"/>
      <c r="B65" s="72" t="s">
        <v>82</v>
      </c>
      <c r="C65" s="179" t="s">
        <v>15</v>
      </c>
      <c r="D65" s="151">
        <v>11</v>
      </c>
      <c r="E65" s="205">
        <f t="shared" si="19"/>
        <v>11</v>
      </c>
      <c r="F65" s="188"/>
      <c r="G65" s="204">
        <f t="shared" si="18"/>
        <v>0</v>
      </c>
    </row>
    <row r="66" spans="1:7" ht="12.75" customHeight="1">
      <c r="A66" s="48"/>
      <c r="B66" s="72"/>
      <c r="C66" s="131"/>
      <c r="D66" s="148"/>
      <c r="E66" s="148"/>
      <c r="F66" s="145"/>
      <c r="G66" s="206"/>
    </row>
    <row r="67" spans="1:7" ht="89.25">
      <c r="A67" s="48">
        <f>+A61+1</f>
        <v>11</v>
      </c>
      <c r="B67" s="74" t="s">
        <v>463</v>
      </c>
      <c r="C67" s="179"/>
      <c r="D67" s="151"/>
      <c r="E67" s="205"/>
      <c r="F67" s="188"/>
      <c r="G67" s="204"/>
    </row>
    <row r="68" spans="1:7" ht="12.75" customHeight="1">
      <c r="A68" s="48"/>
      <c r="B68" s="72" t="s">
        <v>80</v>
      </c>
      <c r="C68" s="179" t="s">
        <v>15</v>
      </c>
      <c r="D68" s="151">
        <v>0</v>
      </c>
      <c r="E68" s="205">
        <f>+D68</f>
        <v>0</v>
      </c>
      <c r="F68" s="188"/>
      <c r="G68" s="204">
        <f t="shared" ref="G68:G71" si="20">E68*F68</f>
        <v>0</v>
      </c>
    </row>
    <row r="69" spans="1:7" ht="12.75" customHeight="1">
      <c r="A69" s="48"/>
      <c r="B69" s="72" t="s">
        <v>81</v>
      </c>
      <c r="C69" s="179" t="s">
        <v>15</v>
      </c>
      <c r="D69" s="151">
        <v>2</v>
      </c>
      <c r="E69" s="205">
        <f t="shared" ref="E69:E71" si="21">+D69</f>
        <v>2</v>
      </c>
      <c r="F69" s="188"/>
      <c r="G69" s="204">
        <f t="shared" si="20"/>
        <v>0</v>
      </c>
    </row>
    <row r="70" spans="1:7" ht="12.75" customHeight="1">
      <c r="A70" s="48"/>
      <c r="B70" s="72" t="s">
        <v>83</v>
      </c>
      <c r="C70" s="179" t="s">
        <v>15</v>
      </c>
      <c r="D70" s="151">
        <v>0</v>
      </c>
      <c r="E70" s="205">
        <f t="shared" si="21"/>
        <v>0</v>
      </c>
      <c r="F70" s="188"/>
      <c r="G70" s="204">
        <f t="shared" si="20"/>
        <v>0</v>
      </c>
    </row>
    <row r="71" spans="1:7" ht="12.75" customHeight="1">
      <c r="A71" s="48"/>
      <c r="B71" s="72" t="s">
        <v>82</v>
      </c>
      <c r="C71" s="179" t="s">
        <v>15</v>
      </c>
      <c r="D71" s="151">
        <v>5</v>
      </c>
      <c r="E71" s="205">
        <f t="shared" si="21"/>
        <v>5</v>
      </c>
      <c r="F71" s="188"/>
      <c r="G71" s="204">
        <f t="shared" si="20"/>
        <v>0</v>
      </c>
    </row>
    <row r="72" spans="1:7" ht="12.75" customHeight="1">
      <c r="A72" s="48"/>
      <c r="B72" s="72"/>
      <c r="C72" s="179"/>
      <c r="D72" s="151"/>
      <c r="E72" s="205"/>
      <c r="F72" s="188"/>
      <c r="G72" s="204"/>
    </row>
    <row r="73" spans="1:7" ht="180" customHeight="1">
      <c r="A73" s="48">
        <f>+A67+1</f>
        <v>12</v>
      </c>
      <c r="B73" s="20" t="s">
        <v>464</v>
      </c>
      <c r="C73" s="76"/>
      <c r="D73" s="54"/>
      <c r="E73" s="54"/>
      <c r="F73" s="54"/>
      <c r="G73" s="248"/>
    </row>
    <row r="74" spans="1:7" ht="12.75" customHeight="1">
      <c r="A74" s="48"/>
      <c r="B74" s="72" t="s">
        <v>80</v>
      </c>
      <c r="C74" s="36" t="s">
        <v>15</v>
      </c>
      <c r="D74" s="242">
        <v>8</v>
      </c>
      <c r="E74" s="242">
        <f t="shared" ref="E74:E77" si="22">+D74</f>
        <v>8</v>
      </c>
      <c r="F74" s="242"/>
      <c r="G74" s="469">
        <f t="shared" ref="G74:G77" si="23">E74*F74</f>
        <v>0</v>
      </c>
    </row>
    <row r="75" spans="1:7" ht="12.75" customHeight="1">
      <c r="A75" s="48"/>
      <c r="B75" s="72" t="s">
        <v>81</v>
      </c>
      <c r="C75" s="36" t="s">
        <v>15</v>
      </c>
      <c r="D75" s="242">
        <v>3</v>
      </c>
      <c r="E75" s="242">
        <f t="shared" si="22"/>
        <v>3</v>
      </c>
      <c r="F75" s="242"/>
      <c r="G75" s="469">
        <f t="shared" si="23"/>
        <v>0</v>
      </c>
    </row>
    <row r="76" spans="1:7" ht="12.75" customHeight="1">
      <c r="A76" s="48"/>
      <c r="B76" s="72" t="s">
        <v>83</v>
      </c>
      <c r="C76" s="36" t="s">
        <v>15</v>
      </c>
      <c r="D76" s="242">
        <v>2</v>
      </c>
      <c r="E76" s="242">
        <f t="shared" si="22"/>
        <v>2</v>
      </c>
      <c r="F76" s="242"/>
      <c r="G76" s="469">
        <f t="shared" si="23"/>
        <v>0</v>
      </c>
    </row>
    <row r="77" spans="1:7" ht="12.75" customHeight="1">
      <c r="A77" s="48"/>
      <c r="B77" s="72" t="s">
        <v>82</v>
      </c>
      <c r="C77" s="36" t="s">
        <v>15</v>
      </c>
      <c r="D77" s="242">
        <v>7</v>
      </c>
      <c r="E77" s="242">
        <f t="shared" si="22"/>
        <v>7</v>
      </c>
      <c r="F77" s="242"/>
      <c r="G77" s="469">
        <f t="shared" si="23"/>
        <v>0</v>
      </c>
    </row>
    <row r="78" spans="1:7" ht="12.75" customHeight="1">
      <c r="A78" s="48"/>
      <c r="B78" s="72"/>
      <c r="C78" s="179"/>
      <c r="D78" s="151"/>
      <c r="E78" s="205"/>
      <c r="F78" s="188"/>
      <c r="G78" s="204"/>
    </row>
    <row r="79" spans="1:7" ht="205.5" customHeight="1">
      <c r="A79" s="48">
        <f>+A73+1</f>
        <v>13</v>
      </c>
      <c r="B79" s="267" t="s">
        <v>465</v>
      </c>
      <c r="C79" s="179"/>
      <c r="D79" s="151"/>
      <c r="E79" s="205"/>
      <c r="F79" s="188"/>
      <c r="G79" s="204"/>
    </row>
    <row r="80" spans="1:7" ht="15">
      <c r="A80" s="48"/>
      <c r="B80" s="72" t="s">
        <v>80</v>
      </c>
      <c r="C80" s="179" t="s">
        <v>56</v>
      </c>
      <c r="D80" s="130">
        <v>0</v>
      </c>
      <c r="E80" s="130">
        <v>0</v>
      </c>
      <c r="F80" s="75"/>
      <c r="G80" s="293">
        <f t="shared" ref="G80:G83" si="24">E80*F80</f>
        <v>0</v>
      </c>
    </row>
    <row r="81" spans="1:7" ht="12.75" customHeight="1">
      <c r="A81" s="48"/>
      <c r="B81" s="72" t="s">
        <v>81</v>
      </c>
      <c r="C81" s="179" t="s">
        <v>56</v>
      </c>
      <c r="D81" s="151">
        <v>0</v>
      </c>
      <c r="E81" s="205">
        <v>0</v>
      </c>
      <c r="F81" s="188"/>
      <c r="G81" s="469">
        <f t="shared" si="24"/>
        <v>0</v>
      </c>
    </row>
    <row r="82" spans="1:7" ht="12.75" customHeight="1">
      <c r="A82" s="48"/>
      <c r="B82" s="72" t="s">
        <v>83</v>
      </c>
      <c r="C82" s="179" t="s">
        <v>56</v>
      </c>
      <c r="D82" s="151">
        <v>0</v>
      </c>
      <c r="E82" s="205">
        <v>0</v>
      </c>
      <c r="F82" s="188"/>
      <c r="G82" s="469">
        <f t="shared" si="24"/>
        <v>0</v>
      </c>
    </row>
    <row r="83" spans="1:7" ht="12.75" customHeight="1">
      <c r="A83" s="48"/>
      <c r="B83" s="72" t="s">
        <v>82</v>
      </c>
      <c r="C83" s="179" t="s">
        <v>56</v>
      </c>
      <c r="D83" s="151">
        <v>0</v>
      </c>
      <c r="E83" s="205">
        <v>0</v>
      </c>
      <c r="F83" s="188"/>
      <c r="G83" s="469">
        <f t="shared" si="24"/>
        <v>0</v>
      </c>
    </row>
    <row r="84" spans="1:7" ht="12.75" customHeight="1">
      <c r="A84" s="48"/>
      <c r="B84" s="72"/>
      <c r="C84" s="179"/>
      <c r="D84" s="151"/>
      <c r="E84" s="205"/>
      <c r="F84" s="188"/>
      <c r="G84" s="204"/>
    </row>
    <row r="85" spans="1:7" ht="153.75" customHeight="1">
      <c r="A85" s="48">
        <f>+A79+1</f>
        <v>14</v>
      </c>
      <c r="B85" s="223" t="s">
        <v>84</v>
      </c>
      <c r="C85" s="179"/>
      <c r="D85" s="151"/>
      <c r="E85" s="205"/>
      <c r="F85" s="188"/>
      <c r="G85" s="204"/>
    </row>
    <row r="86" spans="1:7" ht="12.75" customHeight="1">
      <c r="A86" s="48"/>
      <c r="B86" s="72" t="s">
        <v>80</v>
      </c>
      <c r="C86" s="179" t="s">
        <v>15</v>
      </c>
      <c r="D86" s="151">
        <v>0</v>
      </c>
      <c r="E86" s="205">
        <f>+D86</f>
        <v>0</v>
      </c>
      <c r="F86" s="188"/>
      <c r="G86" s="204">
        <f t="shared" ref="G86:G89" si="25">E86*F86</f>
        <v>0</v>
      </c>
    </row>
    <row r="87" spans="1:7" ht="12.75" customHeight="1">
      <c r="A87" s="48"/>
      <c r="B87" s="72" t="s">
        <v>81</v>
      </c>
      <c r="C87" s="179" t="s">
        <v>15</v>
      </c>
      <c r="D87" s="151">
        <v>0</v>
      </c>
      <c r="E87" s="205">
        <f t="shared" ref="E87:E89" si="26">+D87</f>
        <v>0</v>
      </c>
      <c r="F87" s="188"/>
      <c r="G87" s="204">
        <f t="shared" si="25"/>
        <v>0</v>
      </c>
    </row>
    <row r="88" spans="1:7" ht="12.75" customHeight="1">
      <c r="A88" s="48"/>
      <c r="B88" s="72" t="s">
        <v>83</v>
      </c>
      <c r="C88" s="179" t="s">
        <v>15</v>
      </c>
      <c r="D88" s="151">
        <v>0</v>
      </c>
      <c r="E88" s="205">
        <f t="shared" si="26"/>
        <v>0</v>
      </c>
      <c r="F88" s="188"/>
      <c r="G88" s="204">
        <f t="shared" si="25"/>
        <v>0</v>
      </c>
    </row>
    <row r="89" spans="1:7" ht="12.75" customHeight="1">
      <c r="A89" s="48"/>
      <c r="B89" s="72" t="s">
        <v>82</v>
      </c>
      <c r="C89" s="179" t="s">
        <v>15</v>
      </c>
      <c r="D89" s="151">
        <v>0</v>
      </c>
      <c r="E89" s="205">
        <f t="shared" si="26"/>
        <v>0</v>
      </c>
      <c r="F89" s="188"/>
      <c r="G89" s="204">
        <f t="shared" si="25"/>
        <v>0</v>
      </c>
    </row>
    <row r="90" spans="1:7" ht="12.75" customHeight="1">
      <c r="A90" s="48"/>
      <c r="B90" s="72"/>
      <c r="C90" s="179"/>
      <c r="D90" s="151"/>
      <c r="E90" s="205"/>
      <c r="F90" s="188"/>
      <c r="G90" s="204"/>
    </row>
    <row r="91" spans="1:7" ht="151.5" customHeight="1">
      <c r="A91" s="48">
        <f>+A85+1</f>
        <v>15</v>
      </c>
      <c r="B91" s="223" t="s">
        <v>85</v>
      </c>
      <c r="C91" s="224"/>
      <c r="D91" s="65"/>
      <c r="E91" s="75"/>
      <c r="F91" s="70"/>
      <c r="G91" s="66"/>
    </row>
    <row r="92" spans="1:7" ht="12.75" customHeight="1">
      <c r="A92" s="48"/>
      <c r="B92" s="72" t="s">
        <v>80</v>
      </c>
      <c r="C92" s="179" t="s">
        <v>15</v>
      </c>
      <c r="D92" s="151">
        <v>0</v>
      </c>
      <c r="E92" s="205">
        <f>+D92</f>
        <v>0</v>
      </c>
      <c r="F92" s="188"/>
      <c r="G92" s="204">
        <f t="shared" ref="G92:G94" si="27">E92*F92</f>
        <v>0</v>
      </c>
    </row>
    <row r="93" spans="1:7" ht="12.75" customHeight="1">
      <c r="A93" s="48"/>
      <c r="B93" s="72" t="s">
        <v>81</v>
      </c>
      <c r="C93" s="179" t="s">
        <v>15</v>
      </c>
      <c r="D93" s="151">
        <v>0</v>
      </c>
      <c r="E93" s="205">
        <f t="shared" ref="E93:E94" si="28">+D93</f>
        <v>0</v>
      </c>
      <c r="F93" s="188"/>
      <c r="G93" s="204">
        <f t="shared" si="27"/>
        <v>0</v>
      </c>
    </row>
    <row r="94" spans="1:7" ht="12.75" customHeight="1">
      <c r="A94" s="48"/>
      <c r="B94" s="72" t="s">
        <v>83</v>
      </c>
      <c r="C94" s="179" t="s">
        <v>15</v>
      </c>
      <c r="D94" s="151">
        <v>0</v>
      </c>
      <c r="E94" s="205">
        <f t="shared" si="28"/>
        <v>0</v>
      </c>
      <c r="F94" s="188"/>
      <c r="G94" s="204">
        <f t="shared" si="27"/>
        <v>0</v>
      </c>
    </row>
    <row r="95" spans="1:7" ht="12.75" customHeight="1">
      <c r="A95" s="48"/>
      <c r="B95" s="72" t="s">
        <v>82</v>
      </c>
      <c r="C95" s="179" t="s">
        <v>15</v>
      </c>
      <c r="D95" s="151">
        <v>1</v>
      </c>
      <c r="E95" s="205">
        <f t="shared" ref="E95" si="29">+D95</f>
        <v>1</v>
      </c>
      <c r="F95" s="188"/>
      <c r="G95" s="204">
        <f t="shared" ref="G95" si="30">E95*F95</f>
        <v>0</v>
      </c>
    </row>
    <row r="96" spans="1:7" ht="12.75" customHeight="1">
      <c r="A96" s="48"/>
      <c r="B96" s="72"/>
      <c r="C96" s="179"/>
      <c r="D96" s="151"/>
      <c r="E96" s="205"/>
      <c r="F96" s="188"/>
      <c r="G96" s="204"/>
    </row>
    <row r="97" spans="1:7" ht="153" customHeight="1">
      <c r="A97" s="48">
        <f>+A91+1</f>
        <v>16</v>
      </c>
      <c r="B97" s="223" t="s">
        <v>86</v>
      </c>
      <c r="C97" s="179"/>
      <c r="D97" s="151"/>
      <c r="E97" s="205"/>
      <c r="F97" s="188"/>
      <c r="G97" s="204"/>
    </row>
    <row r="98" spans="1:7" ht="12.75" customHeight="1">
      <c r="A98" s="48"/>
      <c r="B98" s="72" t="s">
        <v>80</v>
      </c>
      <c r="C98" s="179" t="s">
        <v>15</v>
      </c>
      <c r="D98" s="151">
        <v>0</v>
      </c>
      <c r="E98" s="205">
        <f>+D98</f>
        <v>0</v>
      </c>
      <c r="F98" s="188"/>
      <c r="G98" s="204">
        <f t="shared" ref="G98:G100" si="31">E98*F98</f>
        <v>0</v>
      </c>
    </row>
    <row r="99" spans="1:7" ht="12.75" customHeight="1">
      <c r="A99" s="48"/>
      <c r="B99" s="72" t="s">
        <v>81</v>
      </c>
      <c r="C99" s="179" t="s">
        <v>15</v>
      </c>
      <c r="D99" s="151">
        <v>0</v>
      </c>
      <c r="E99" s="205">
        <f t="shared" ref="E99:E100" si="32">+D99</f>
        <v>0</v>
      </c>
      <c r="F99" s="188"/>
      <c r="G99" s="204">
        <f t="shared" si="31"/>
        <v>0</v>
      </c>
    </row>
    <row r="100" spans="1:7" ht="12.75" customHeight="1">
      <c r="A100" s="48"/>
      <c r="B100" s="72" t="s">
        <v>83</v>
      </c>
      <c r="C100" s="179" t="s">
        <v>15</v>
      </c>
      <c r="D100" s="151">
        <v>0</v>
      </c>
      <c r="E100" s="205">
        <f t="shared" si="32"/>
        <v>0</v>
      </c>
      <c r="F100" s="188"/>
      <c r="G100" s="204">
        <f t="shared" si="31"/>
        <v>0</v>
      </c>
    </row>
    <row r="101" spans="1:7" ht="12.75" customHeight="1">
      <c r="A101" s="48"/>
      <c r="B101" s="72" t="s">
        <v>82</v>
      </c>
      <c r="C101" s="179" t="s">
        <v>15</v>
      </c>
      <c r="D101" s="151">
        <v>0</v>
      </c>
      <c r="E101" s="205">
        <f t="shared" ref="E101" si="33">+D101</f>
        <v>0</v>
      </c>
      <c r="F101" s="188"/>
      <c r="G101" s="204">
        <f t="shared" ref="G101" si="34">E101*F101</f>
        <v>0</v>
      </c>
    </row>
    <row r="102" spans="1:7" ht="12.75" customHeight="1">
      <c r="A102" s="48"/>
      <c r="B102" s="72"/>
      <c r="C102" s="179"/>
      <c r="D102" s="151"/>
      <c r="E102" s="205"/>
      <c r="F102" s="188"/>
      <c r="G102" s="204"/>
    </row>
    <row r="103" spans="1:7" ht="42" customHeight="1">
      <c r="A103" s="48">
        <f>+A97+1</f>
        <v>17</v>
      </c>
      <c r="B103" s="64" t="s">
        <v>24</v>
      </c>
      <c r="C103" s="180"/>
      <c r="D103" s="203"/>
      <c r="E103" s="188"/>
      <c r="F103" s="188"/>
      <c r="G103" s="204"/>
    </row>
    <row r="104" spans="1:7" ht="12.75" customHeight="1">
      <c r="A104" s="48"/>
      <c r="B104" s="72" t="s">
        <v>80</v>
      </c>
      <c r="C104" s="180" t="s">
        <v>15</v>
      </c>
      <c r="D104" s="203">
        <v>0</v>
      </c>
      <c r="E104" s="188">
        <f t="shared" ref="E104:E106" si="35">+D104</f>
        <v>0</v>
      </c>
      <c r="F104" s="188"/>
      <c r="G104" s="204">
        <f t="shared" ref="G104:G107" si="36">E104*F104</f>
        <v>0</v>
      </c>
    </row>
    <row r="105" spans="1:7" ht="12.75" customHeight="1">
      <c r="A105" s="48"/>
      <c r="B105" s="72" t="s">
        <v>81</v>
      </c>
      <c r="C105" s="180" t="s">
        <v>15</v>
      </c>
      <c r="D105" s="203">
        <v>1</v>
      </c>
      <c r="E105" s="188">
        <f t="shared" si="35"/>
        <v>1</v>
      </c>
      <c r="F105" s="188"/>
      <c r="G105" s="204">
        <f t="shared" si="36"/>
        <v>0</v>
      </c>
    </row>
    <row r="106" spans="1:7" ht="12.75" customHeight="1">
      <c r="A106" s="48"/>
      <c r="B106" s="72" t="s">
        <v>83</v>
      </c>
      <c r="C106" s="180" t="s">
        <v>15</v>
      </c>
      <c r="D106" s="203">
        <v>1</v>
      </c>
      <c r="E106" s="188">
        <f t="shared" si="35"/>
        <v>1</v>
      </c>
      <c r="F106" s="188"/>
      <c r="G106" s="204">
        <f t="shared" si="36"/>
        <v>0</v>
      </c>
    </row>
    <row r="107" spans="1:7" ht="12.75" customHeight="1">
      <c r="A107" s="48"/>
      <c r="B107" s="72" t="s">
        <v>82</v>
      </c>
      <c r="C107" s="180" t="s">
        <v>15</v>
      </c>
      <c r="D107" s="203">
        <v>0</v>
      </c>
      <c r="E107" s="188">
        <f>+D107</f>
        <v>0</v>
      </c>
      <c r="F107" s="188"/>
      <c r="G107" s="204">
        <f t="shared" si="36"/>
        <v>0</v>
      </c>
    </row>
    <row r="108" spans="1:7" ht="12.75" customHeight="1">
      <c r="A108" s="48"/>
      <c r="B108" s="56"/>
      <c r="C108" s="137"/>
      <c r="D108" s="207"/>
      <c r="E108" s="207"/>
      <c r="F108" s="208"/>
      <c r="G108" s="150"/>
    </row>
    <row r="109" spans="1:7" ht="12.75" customHeight="1">
      <c r="A109" s="48"/>
      <c r="B109" s="56" t="s">
        <v>366</v>
      </c>
      <c r="C109" s="137"/>
      <c r="D109" s="207"/>
      <c r="E109" s="207"/>
      <c r="F109" s="208"/>
      <c r="G109" s="150"/>
    </row>
    <row r="110" spans="1:7" ht="12.75" customHeight="1">
      <c r="A110" s="48"/>
      <c r="B110" s="56"/>
      <c r="C110" s="137"/>
      <c r="D110" s="207"/>
      <c r="E110" s="221" t="s">
        <v>80</v>
      </c>
      <c r="F110" s="209"/>
      <c r="G110" s="150">
        <f>+G104+G98+G92+G86+G80+G74+G68+G62+G56+G50+G44+G38+G32+G26+G20+G14+G8</f>
        <v>0</v>
      </c>
    </row>
    <row r="111" spans="1:7" ht="12.75" customHeight="1">
      <c r="A111" s="48"/>
      <c r="B111" s="56"/>
      <c r="C111" s="137"/>
      <c r="D111" s="207"/>
      <c r="E111" s="221" t="s">
        <v>81</v>
      </c>
      <c r="F111" s="209"/>
      <c r="G111" s="150">
        <f>+G105+G99+G93+G87+G81+G75+G69+G63+G57+G51+G45+G39+G33+G27+G21+G15+G9</f>
        <v>0</v>
      </c>
    </row>
    <row r="112" spans="1:7" ht="12.75" customHeight="1">
      <c r="A112" s="48"/>
      <c r="B112" s="56"/>
      <c r="C112" s="137"/>
      <c r="D112" s="207"/>
      <c r="E112" s="221" t="s">
        <v>83</v>
      </c>
      <c r="F112" s="209"/>
      <c r="G112" s="150">
        <f>+G106+G100+G94+G88+G82+G76+G70+G64+G58+G52+G46+G40+G34+G28+G22+G16+G10</f>
        <v>0</v>
      </c>
    </row>
    <row r="113" spans="1:7" ht="12.75" customHeight="1">
      <c r="A113" s="48"/>
      <c r="B113" s="56"/>
      <c r="C113" s="137"/>
      <c r="D113" s="207"/>
      <c r="E113" s="221" t="s">
        <v>82</v>
      </c>
      <c r="F113" s="209"/>
      <c r="G113" s="150">
        <f>+G107+G101+G95+G89+G83+G77+G71+G65+G59+G53+G47+G41+G35+G29+G23+G17+G11</f>
        <v>0</v>
      </c>
    </row>
    <row r="114" spans="1:7" ht="12.75" customHeight="1">
      <c r="A114" s="48"/>
      <c r="B114" s="72"/>
      <c r="C114" s="138"/>
      <c r="D114" s="148"/>
      <c r="E114" s="143"/>
      <c r="F114" s="143"/>
      <c r="G114" s="195"/>
    </row>
    <row r="115" spans="1:7" ht="16.5" thickBot="1">
      <c r="A115" s="22" t="s">
        <v>64</v>
      </c>
      <c r="B115" s="23" t="s">
        <v>13</v>
      </c>
      <c r="C115" s="138"/>
      <c r="D115" s="148"/>
      <c r="E115" s="143"/>
      <c r="F115" s="191" t="s">
        <v>62</v>
      </c>
      <c r="G115" s="191">
        <f>SUM(G110:G113)</f>
        <v>0</v>
      </c>
    </row>
    <row r="116" spans="1:7" ht="12.75" customHeight="1" thickTop="1">
      <c r="A116" s="48"/>
      <c r="B116" s="20"/>
      <c r="C116" s="138"/>
      <c r="D116" s="148"/>
      <c r="E116" s="143"/>
      <c r="F116" s="143"/>
      <c r="G116" s="195"/>
    </row>
    <row r="117" spans="1:7" ht="12.75" customHeight="1">
      <c r="A117" s="48"/>
      <c r="B117" s="20"/>
      <c r="C117" s="138"/>
      <c r="D117" s="148"/>
      <c r="E117" s="143"/>
      <c r="F117" s="143"/>
      <c r="G117" s="195"/>
    </row>
    <row r="118" spans="1:7" ht="12.75" customHeight="1">
      <c r="A118" s="48"/>
      <c r="B118" s="20"/>
      <c r="C118" s="138"/>
      <c r="D118" s="148"/>
      <c r="E118" s="143"/>
      <c r="F118" s="143"/>
      <c r="G118" s="195"/>
    </row>
    <row r="119" spans="1:7" ht="12.75" customHeight="1">
      <c r="A119" s="48"/>
      <c r="B119" s="20"/>
      <c r="C119" s="138"/>
      <c r="D119" s="148"/>
      <c r="E119" s="143"/>
      <c r="F119" s="143"/>
      <c r="G119" s="195"/>
    </row>
    <row r="120" spans="1:7" ht="12.75" customHeight="1">
      <c r="A120" s="48"/>
      <c r="B120" s="20"/>
      <c r="C120" s="138"/>
      <c r="D120" s="148"/>
      <c r="E120" s="143"/>
      <c r="F120" s="143"/>
      <c r="G120" s="195"/>
    </row>
    <row r="121" spans="1:7" ht="12.75" customHeight="1">
      <c r="A121" s="48"/>
      <c r="B121" s="20"/>
      <c r="C121" s="138"/>
      <c r="D121" s="148"/>
      <c r="E121" s="143"/>
      <c r="F121" s="143"/>
      <c r="G121" s="195"/>
    </row>
    <row r="122" spans="1:7" ht="12.75" customHeight="1">
      <c r="A122" s="48"/>
      <c r="B122" s="20"/>
      <c r="C122" s="138"/>
      <c r="D122" s="148"/>
      <c r="E122" s="143"/>
      <c r="F122" s="143"/>
      <c r="G122" s="195"/>
    </row>
    <row r="123" spans="1:7" ht="12.75" customHeight="1">
      <c r="A123" s="48"/>
      <c r="B123" s="20"/>
      <c r="C123" s="138"/>
      <c r="D123" s="148"/>
      <c r="E123" s="143"/>
      <c r="F123" s="143"/>
      <c r="G123" s="195"/>
    </row>
    <row r="124" spans="1:7" ht="12.75" customHeight="1">
      <c r="A124" s="48"/>
      <c r="B124" s="20"/>
      <c r="C124" s="138"/>
      <c r="D124" s="148"/>
      <c r="E124" s="143"/>
      <c r="F124" s="143"/>
      <c r="G124" s="195"/>
    </row>
    <row r="125" spans="1:7" ht="12.75" customHeight="1">
      <c r="A125" s="48"/>
      <c r="B125" s="20"/>
      <c r="C125" s="138"/>
      <c r="D125" s="148"/>
      <c r="E125" s="143"/>
      <c r="F125" s="143"/>
      <c r="G125" s="195"/>
    </row>
    <row r="126" spans="1:7" ht="12.75" customHeight="1">
      <c r="A126" s="48"/>
      <c r="B126" s="20"/>
      <c r="C126" s="138"/>
      <c r="D126" s="148"/>
      <c r="E126" s="143"/>
      <c r="F126" s="143"/>
      <c r="G126" s="195"/>
    </row>
    <row r="127" spans="1:7" ht="12.75" customHeight="1">
      <c r="A127" s="48"/>
      <c r="B127" s="20"/>
      <c r="C127" s="138"/>
      <c r="D127" s="148"/>
      <c r="E127" s="143"/>
      <c r="F127" s="143"/>
      <c r="G127" s="195"/>
    </row>
    <row r="128" spans="1:7" ht="12.75" customHeight="1">
      <c r="A128" s="48"/>
      <c r="B128" s="20"/>
      <c r="C128" s="138"/>
      <c r="D128" s="148"/>
      <c r="E128" s="143"/>
      <c r="F128" s="143"/>
      <c r="G128" s="195"/>
    </row>
    <row r="129" spans="1:7" ht="12.75" customHeight="1">
      <c r="A129" s="48"/>
      <c r="B129" s="20"/>
      <c r="C129" s="138"/>
      <c r="D129" s="148"/>
      <c r="E129" s="143"/>
      <c r="F129" s="143"/>
      <c r="G129" s="195"/>
    </row>
    <row r="130" spans="1:7" ht="12.75" customHeight="1">
      <c r="A130" s="48"/>
      <c r="B130" s="20"/>
      <c r="C130" s="138"/>
      <c r="D130" s="148"/>
      <c r="E130" s="143"/>
      <c r="F130" s="143"/>
      <c r="G130" s="195"/>
    </row>
    <row r="131" spans="1:7" ht="12.75" customHeight="1">
      <c r="A131" s="48"/>
      <c r="B131" s="20"/>
      <c r="C131" s="138"/>
      <c r="D131" s="148"/>
      <c r="E131" s="143"/>
      <c r="F131" s="143"/>
      <c r="G131" s="195"/>
    </row>
    <row r="132" spans="1:7" ht="12.75" customHeight="1">
      <c r="A132" s="48"/>
      <c r="B132" s="20"/>
      <c r="C132" s="138"/>
      <c r="D132" s="148"/>
      <c r="E132" s="143"/>
      <c r="F132" s="143"/>
      <c r="G132" s="195"/>
    </row>
    <row r="133" spans="1:7" ht="12.75" customHeight="1">
      <c r="A133" s="48"/>
      <c r="B133" s="20"/>
      <c r="C133" s="138"/>
      <c r="D133" s="148"/>
      <c r="E133" s="143"/>
      <c r="F133" s="143"/>
      <c r="G133" s="195"/>
    </row>
    <row r="134" spans="1:7" ht="12.75" customHeight="1">
      <c r="A134" s="48"/>
      <c r="B134" s="20"/>
      <c r="C134" s="138"/>
      <c r="D134" s="148"/>
      <c r="E134" s="143"/>
      <c r="F134" s="143"/>
      <c r="G134" s="195"/>
    </row>
    <row r="135" spans="1:7" ht="12.75" customHeight="1">
      <c r="A135" s="48"/>
      <c r="B135" s="20"/>
      <c r="C135" s="138"/>
      <c r="D135" s="148"/>
      <c r="E135" s="143"/>
      <c r="F135" s="143"/>
      <c r="G135" s="195"/>
    </row>
    <row r="136" spans="1:7" ht="12.75" customHeight="1">
      <c r="A136" s="48"/>
      <c r="B136" s="20"/>
      <c r="C136" s="138"/>
      <c r="D136" s="148"/>
      <c r="E136" s="143"/>
      <c r="F136" s="143"/>
      <c r="G136" s="195"/>
    </row>
    <row r="137" spans="1:7" ht="12.75" customHeight="1">
      <c r="A137" s="48"/>
      <c r="B137" s="20"/>
      <c r="C137" s="138"/>
      <c r="D137" s="148"/>
      <c r="E137" s="143"/>
      <c r="F137" s="143"/>
      <c r="G137" s="195"/>
    </row>
    <row r="138" spans="1:7" ht="12.75" customHeight="1">
      <c r="A138" s="48"/>
      <c r="B138" s="20"/>
      <c r="C138" s="138"/>
      <c r="D138" s="148"/>
      <c r="E138" s="143"/>
      <c r="F138" s="143"/>
      <c r="G138" s="195"/>
    </row>
    <row r="139" spans="1:7" ht="12.75" customHeight="1">
      <c r="A139" s="48"/>
      <c r="B139" s="20"/>
      <c r="C139" s="138"/>
      <c r="D139" s="148"/>
      <c r="E139" s="143"/>
      <c r="F139" s="143"/>
      <c r="G139" s="195"/>
    </row>
    <row r="140" spans="1:7" ht="12.75" customHeight="1">
      <c r="A140" s="48"/>
      <c r="B140" s="59"/>
      <c r="C140" s="131"/>
      <c r="D140" s="148"/>
      <c r="E140" s="143"/>
      <c r="F140" s="143"/>
      <c r="G140" s="195"/>
    </row>
    <row r="141" spans="1:7" ht="255">
      <c r="A141" s="48"/>
      <c r="B141" s="20" t="s">
        <v>429</v>
      </c>
      <c r="C141" s="131"/>
      <c r="D141" s="148"/>
      <c r="E141" s="143"/>
      <c r="F141" s="143"/>
      <c r="G141" s="195"/>
    </row>
    <row r="142" spans="1:7" ht="12.75" customHeight="1">
      <c r="A142" s="48"/>
      <c r="B142" s="72" t="s">
        <v>32</v>
      </c>
      <c r="C142" s="131" t="s">
        <v>19</v>
      </c>
      <c r="D142" s="148"/>
      <c r="E142" s="143">
        <f t="shared" ref="E142:E162" si="37">+D142</f>
        <v>0</v>
      </c>
      <c r="F142" s="143">
        <v>42.6</v>
      </c>
      <c r="G142" s="195">
        <f t="shared" ref="G142:G162" si="38">E142*F142</f>
        <v>0</v>
      </c>
    </row>
    <row r="143" spans="1:7" ht="12.75" customHeight="1">
      <c r="B143" s="72" t="s">
        <v>33</v>
      </c>
      <c r="C143" s="131" t="s">
        <v>19</v>
      </c>
      <c r="D143" s="148"/>
      <c r="E143" s="143">
        <f t="shared" si="37"/>
        <v>0</v>
      </c>
      <c r="F143" s="143">
        <v>42.6</v>
      </c>
      <c r="G143" s="195">
        <f t="shared" si="38"/>
        <v>0</v>
      </c>
    </row>
    <row r="144" spans="1:7" ht="12.75" customHeight="1">
      <c r="B144" s="72" t="s">
        <v>34</v>
      </c>
      <c r="C144" s="131" t="s">
        <v>19</v>
      </c>
      <c r="D144" s="148"/>
      <c r="E144" s="143">
        <f t="shared" si="37"/>
        <v>0</v>
      </c>
      <c r="F144" s="143">
        <v>42.6</v>
      </c>
      <c r="G144" s="195">
        <f t="shared" si="38"/>
        <v>0</v>
      </c>
    </row>
    <row r="145" spans="2:7" ht="12.75" customHeight="1">
      <c r="B145" s="72" t="s">
        <v>35</v>
      </c>
      <c r="C145" s="131" t="s">
        <v>19</v>
      </c>
      <c r="D145" s="148"/>
      <c r="E145" s="143">
        <f t="shared" si="37"/>
        <v>0</v>
      </c>
      <c r="F145" s="143">
        <v>42.6</v>
      </c>
      <c r="G145" s="195">
        <f t="shared" si="38"/>
        <v>0</v>
      </c>
    </row>
    <row r="146" spans="2:7" ht="12.75" customHeight="1">
      <c r="B146" s="72" t="s">
        <v>36</v>
      </c>
      <c r="C146" s="131" t="s">
        <v>19</v>
      </c>
      <c r="D146" s="148"/>
      <c r="E146" s="143">
        <f t="shared" si="37"/>
        <v>0</v>
      </c>
      <c r="F146" s="143">
        <v>42.6</v>
      </c>
      <c r="G146" s="195">
        <f t="shared" si="38"/>
        <v>0</v>
      </c>
    </row>
    <row r="147" spans="2:7" ht="12.75" customHeight="1">
      <c r="B147" s="72" t="s">
        <v>37</v>
      </c>
      <c r="C147" s="131" t="s">
        <v>19</v>
      </c>
      <c r="D147" s="148"/>
      <c r="E147" s="143">
        <f t="shared" si="37"/>
        <v>0</v>
      </c>
      <c r="F147" s="143">
        <v>42.6</v>
      </c>
      <c r="G147" s="195">
        <f t="shared" si="38"/>
        <v>0</v>
      </c>
    </row>
    <row r="148" spans="2:7" ht="12.75" customHeight="1">
      <c r="B148" s="72" t="s">
        <v>38</v>
      </c>
      <c r="C148" s="131" t="s">
        <v>19</v>
      </c>
      <c r="D148" s="148"/>
      <c r="E148" s="143">
        <f t="shared" si="37"/>
        <v>0</v>
      </c>
      <c r="F148" s="143">
        <v>42.6</v>
      </c>
      <c r="G148" s="195">
        <f t="shared" si="38"/>
        <v>0</v>
      </c>
    </row>
    <row r="149" spans="2:7" ht="12.75" customHeight="1">
      <c r="B149" s="72" t="s">
        <v>39</v>
      </c>
      <c r="C149" s="131" t="s">
        <v>19</v>
      </c>
      <c r="D149" s="148"/>
      <c r="E149" s="143">
        <f t="shared" si="37"/>
        <v>0</v>
      </c>
      <c r="F149" s="143">
        <v>42.6</v>
      </c>
      <c r="G149" s="195">
        <f t="shared" si="38"/>
        <v>0</v>
      </c>
    </row>
    <row r="150" spans="2:7" ht="12.75" customHeight="1">
      <c r="B150" s="72" t="s">
        <v>40</v>
      </c>
      <c r="C150" s="131" t="s">
        <v>19</v>
      </c>
      <c r="D150" s="148"/>
      <c r="E150" s="143">
        <f t="shared" si="37"/>
        <v>0</v>
      </c>
      <c r="F150" s="143">
        <v>42.6</v>
      </c>
      <c r="G150" s="195">
        <f t="shared" si="38"/>
        <v>0</v>
      </c>
    </row>
    <row r="151" spans="2:7" ht="12.75" customHeight="1">
      <c r="B151" s="72" t="s">
        <v>41</v>
      </c>
      <c r="C151" s="131" t="s">
        <v>19</v>
      </c>
      <c r="D151" s="148"/>
      <c r="E151" s="143">
        <f t="shared" si="37"/>
        <v>0</v>
      </c>
      <c r="F151" s="143">
        <v>42.6</v>
      </c>
      <c r="G151" s="195">
        <f t="shared" si="38"/>
        <v>0</v>
      </c>
    </row>
    <row r="152" spans="2:7" ht="12.75" customHeight="1">
      <c r="B152" s="72" t="s">
        <v>42</v>
      </c>
      <c r="C152" s="131" t="s">
        <v>19</v>
      </c>
      <c r="D152" s="148"/>
      <c r="E152" s="143">
        <f t="shared" si="37"/>
        <v>0</v>
      </c>
      <c r="F152" s="143">
        <v>42.6</v>
      </c>
      <c r="G152" s="195">
        <f t="shared" si="38"/>
        <v>0</v>
      </c>
    </row>
    <row r="153" spans="2:7" ht="12.75" customHeight="1">
      <c r="B153" s="72" t="s">
        <v>43</v>
      </c>
      <c r="C153" s="131" t="s">
        <v>19</v>
      </c>
      <c r="D153" s="148"/>
      <c r="E153" s="143">
        <f t="shared" si="37"/>
        <v>0</v>
      </c>
      <c r="F153" s="143">
        <v>42.6</v>
      </c>
      <c r="G153" s="195">
        <f t="shared" si="38"/>
        <v>0</v>
      </c>
    </row>
    <row r="154" spans="2:7" ht="12.75" customHeight="1">
      <c r="B154" s="72" t="s">
        <v>44</v>
      </c>
      <c r="C154" s="131" t="s">
        <v>19</v>
      </c>
      <c r="D154" s="148"/>
      <c r="E154" s="143">
        <f t="shared" si="37"/>
        <v>0</v>
      </c>
      <c r="F154" s="143">
        <v>42.6</v>
      </c>
      <c r="G154" s="195">
        <f t="shared" si="38"/>
        <v>0</v>
      </c>
    </row>
    <row r="155" spans="2:7" ht="12.75" customHeight="1">
      <c r="B155" s="72" t="s">
        <v>45</v>
      </c>
      <c r="C155" s="131" t="s">
        <v>19</v>
      </c>
      <c r="D155" s="148"/>
      <c r="E155" s="143">
        <f t="shared" si="37"/>
        <v>0</v>
      </c>
      <c r="F155" s="143">
        <v>42.6</v>
      </c>
      <c r="G155" s="195">
        <f t="shared" si="38"/>
        <v>0</v>
      </c>
    </row>
    <row r="156" spans="2:7" ht="12.75" customHeight="1">
      <c r="B156" s="72" t="s">
        <v>46</v>
      </c>
      <c r="C156" s="131" t="s">
        <v>19</v>
      </c>
      <c r="D156" s="148"/>
      <c r="E156" s="143">
        <f t="shared" si="37"/>
        <v>0</v>
      </c>
      <c r="F156" s="143">
        <v>42.6</v>
      </c>
      <c r="G156" s="195">
        <f t="shared" si="38"/>
        <v>0</v>
      </c>
    </row>
    <row r="157" spans="2:7" ht="12.75" customHeight="1">
      <c r="B157" s="72" t="s">
        <v>47</v>
      </c>
      <c r="C157" s="131" t="s">
        <v>19</v>
      </c>
      <c r="D157" s="148"/>
      <c r="E157" s="143">
        <f t="shared" si="37"/>
        <v>0</v>
      </c>
      <c r="F157" s="143">
        <v>42.6</v>
      </c>
      <c r="G157" s="195">
        <f t="shared" si="38"/>
        <v>0</v>
      </c>
    </row>
    <row r="158" spans="2:7" ht="12.75" customHeight="1">
      <c r="B158" s="72" t="s">
        <v>49</v>
      </c>
      <c r="C158" s="131" t="s">
        <v>19</v>
      </c>
      <c r="D158" s="148"/>
      <c r="E158" s="143">
        <f t="shared" si="37"/>
        <v>0</v>
      </c>
      <c r="F158" s="143">
        <v>42.6</v>
      </c>
      <c r="G158" s="195">
        <f t="shared" si="38"/>
        <v>0</v>
      </c>
    </row>
    <row r="159" spans="2:7" ht="12.75" customHeight="1">
      <c r="B159" s="72" t="s">
        <v>48</v>
      </c>
      <c r="C159" s="131" t="s">
        <v>19</v>
      </c>
      <c r="D159" s="148"/>
      <c r="E159" s="143">
        <f t="shared" si="37"/>
        <v>0</v>
      </c>
      <c r="F159" s="143">
        <v>42.6</v>
      </c>
      <c r="G159" s="195">
        <f t="shared" si="38"/>
        <v>0</v>
      </c>
    </row>
    <row r="160" spans="2:7" ht="12.75" customHeight="1">
      <c r="B160" s="72" t="s">
        <v>50</v>
      </c>
      <c r="C160" s="131" t="s">
        <v>19</v>
      </c>
      <c r="D160" s="148"/>
      <c r="E160" s="143">
        <f t="shared" si="37"/>
        <v>0</v>
      </c>
      <c r="F160" s="143">
        <v>42.6</v>
      </c>
      <c r="G160" s="195">
        <f t="shared" si="38"/>
        <v>0</v>
      </c>
    </row>
    <row r="161" spans="1:7" ht="12.75" customHeight="1">
      <c r="B161" s="72" t="s">
        <v>51</v>
      </c>
      <c r="C161" s="131" t="s">
        <v>19</v>
      </c>
      <c r="D161" s="148"/>
      <c r="E161" s="143">
        <f t="shared" si="37"/>
        <v>0</v>
      </c>
      <c r="F161" s="143">
        <v>42.6</v>
      </c>
      <c r="G161" s="195">
        <f t="shared" si="38"/>
        <v>0</v>
      </c>
    </row>
    <row r="162" spans="1:7" ht="15">
      <c r="B162" s="72" t="s">
        <v>52</v>
      </c>
      <c r="C162" s="131" t="s">
        <v>19</v>
      </c>
      <c r="D162" s="148"/>
      <c r="E162" s="143">
        <f t="shared" si="37"/>
        <v>0</v>
      </c>
      <c r="F162" s="143">
        <v>42.6</v>
      </c>
      <c r="G162" s="195">
        <f t="shared" si="38"/>
        <v>0</v>
      </c>
    </row>
    <row r="164" spans="1:7" ht="267.75">
      <c r="A164" s="48"/>
      <c r="B164" s="71" t="s">
        <v>430</v>
      </c>
      <c r="C164" s="131"/>
      <c r="D164" s="148"/>
      <c r="E164" s="201"/>
      <c r="F164" s="452"/>
      <c r="G164" s="202"/>
    </row>
    <row r="165" spans="1:7" ht="12.75" customHeight="1">
      <c r="A165" s="48"/>
      <c r="B165" s="72" t="s">
        <v>32</v>
      </c>
      <c r="C165" s="131" t="s">
        <v>15</v>
      </c>
      <c r="D165" s="148"/>
      <c r="E165" s="201">
        <f t="shared" ref="E165:E185" si="39">+D165</f>
        <v>0</v>
      </c>
      <c r="F165" s="452">
        <v>1275</v>
      </c>
      <c r="G165" s="202">
        <f t="shared" ref="G165:G185" si="40">E165*F165</f>
        <v>0</v>
      </c>
    </row>
    <row r="166" spans="1:7" ht="12.75" customHeight="1">
      <c r="A166" s="48"/>
      <c r="B166" s="72" t="s">
        <v>33</v>
      </c>
      <c r="C166" s="131" t="s">
        <v>15</v>
      </c>
      <c r="D166" s="148"/>
      <c r="E166" s="201">
        <f t="shared" si="39"/>
        <v>0</v>
      </c>
      <c r="F166" s="452">
        <v>1275</v>
      </c>
      <c r="G166" s="202">
        <f t="shared" si="40"/>
        <v>0</v>
      </c>
    </row>
    <row r="167" spans="1:7" ht="12.75" customHeight="1">
      <c r="A167" s="48"/>
      <c r="B167" s="72" t="s">
        <v>34</v>
      </c>
      <c r="C167" s="131" t="s">
        <v>15</v>
      </c>
      <c r="D167" s="148"/>
      <c r="E167" s="201">
        <f t="shared" si="39"/>
        <v>0</v>
      </c>
      <c r="F167" s="452">
        <v>1275</v>
      </c>
      <c r="G167" s="202">
        <f t="shared" si="40"/>
        <v>0</v>
      </c>
    </row>
    <row r="168" spans="1:7" ht="12.75" customHeight="1">
      <c r="A168" s="48"/>
      <c r="B168" s="72" t="s">
        <v>35</v>
      </c>
      <c r="C168" s="131" t="s">
        <v>15</v>
      </c>
      <c r="D168" s="148"/>
      <c r="E168" s="201">
        <f t="shared" si="39"/>
        <v>0</v>
      </c>
      <c r="F168" s="452">
        <v>1275</v>
      </c>
      <c r="G168" s="202">
        <f t="shared" si="40"/>
        <v>0</v>
      </c>
    </row>
    <row r="169" spans="1:7" ht="12.75" customHeight="1">
      <c r="A169" s="48"/>
      <c r="B169" s="72" t="s">
        <v>36</v>
      </c>
      <c r="C169" s="131" t="s">
        <v>15</v>
      </c>
      <c r="D169" s="148"/>
      <c r="E169" s="201">
        <f t="shared" si="39"/>
        <v>0</v>
      </c>
      <c r="F169" s="452">
        <v>1275</v>
      </c>
      <c r="G169" s="202">
        <f t="shared" si="40"/>
        <v>0</v>
      </c>
    </row>
    <row r="170" spans="1:7" ht="12.75" customHeight="1">
      <c r="A170" s="48"/>
      <c r="B170" s="72" t="s">
        <v>37</v>
      </c>
      <c r="C170" s="131" t="s">
        <v>15</v>
      </c>
      <c r="D170" s="148"/>
      <c r="E170" s="201">
        <f t="shared" si="39"/>
        <v>0</v>
      </c>
      <c r="F170" s="452">
        <v>1275</v>
      </c>
      <c r="G170" s="202">
        <f t="shared" si="40"/>
        <v>0</v>
      </c>
    </row>
    <row r="171" spans="1:7" ht="12.75" customHeight="1">
      <c r="A171" s="48"/>
      <c r="B171" s="72" t="s">
        <v>38</v>
      </c>
      <c r="C171" s="131" t="s">
        <v>15</v>
      </c>
      <c r="D171" s="148"/>
      <c r="E171" s="201">
        <f t="shared" si="39"/>
        <v>0</v>
      </c>
      <c r="F171" s="452">
        <v>1275</v>
      </c>
      <c r="G171" s="202">
        <f t="shared" si="40"/>
        <v>0</v>
      </c>
    </row>
    <row r="172" spans="1:7" ht="12.75" customHeight="1">
      <c r="A172" s="48"/>
      <c r="B172" s="72" t="s">
        <v>39</v>
      </c>
      <c r="C172" s="131" t="s">
        <v>15</v>
      </c>
      <c r="D172" s="148"/>
      <c r="E172" s="201">
        <f t="shared" si="39"/>
        <v>0</v>
      </c>
      <c r="F172" s="452">
        <v>1275</v>
      </c>
      <c r="G172" s="202">
        <f t="shared" si="40"/>
        <v>0</v>
      </c>
    </row>
    <row r="173" spans="1:7" ht="12.75" customHeight="1">
      <c r="A173" s="48"/>
      <c r="B173" s="72" t="s">
        <v>40</v>
      </c>
      <c r="C173" s="131" t="s">
        <v>15</v>
      </c>
      <c r="D173" s="148"/>
      <c r="E173" s="201">
        <f t="shared" si="39"/>
        <v>0</v>
      </c>
      <c r="F173" s="452">
        <v>1275</v>
      </c>
      <c r="G173" s="202">
        <f t="shared" si="40"/>
        <v>0</v>
      </c>
    </row>
    <row r="174" spans="1:7" ht="12.75" customHeight="1">
      <c r="A174" s="48"/>
      <c r="B174" s="72" t="s">
        <v>41</v>
      </c>
      <c r="C174" s="131" t="s">
        <v>15</v>
      </c>
      <c r="D174" s="148"/>
      <c r="E174" s="201">
        <f t="shared" si="39"/>
        <v>0</v>
      </c>
      <c r="F174" s="452">
        <v>1275</v>
      </c>
      <c r="G174" s="202">
        <f t="shared" si="40"/>
        <v>0</v>
      </c>
    </row>
    <row r="175" spans="1:7" ht="12.75" customHeight="1">
      <c r="A175" s="48"/>
      <c r="B175" s="72" t="s">
        <v>42</v>
      </c>
      <c r="C175" s="131" t="s">
        <v>15</v>
      </c>
      <c r="D175" s="148"/>
      <c r="E175" s="201">
        <f t="shared" si="39"/>
        <v>0</v>
      </c>
      <c r="F175" s="452">
        <v>1275</v>
      </c>
      <c r="G175" s="202">
        <f t="shared" si="40"/>
        <v>0</v>
      </c>
    </row>
    <row r="176" spans="1:7" ht="12.75" customHeight="1">
      <c r="A176" s="48"/>
      <c r="B176" s="72" t="s">
        <v>43</v>
      </c>
      <c r="C176" s="131" t="s">
        <v>15</v>
      </c>
      <c r="D176" s="148"/>
      <c r="E176" s="201">
        <f t="shared" si="39"/>
        <v>0</v>
      </c>
      <c r="F176" s="452">
        <v>1275</v>
      </c>
      <c r="G176" s="202">
        <f t="shared" si="40"/>
        <v>0</v>
      </c>
    </row>
    <row r="177" spans="1:7" ht="12.75" customHeight="1">
      <c r="A177" s="48"/>
      <c r="B177" s="72" t="s">
        <v>44</v>
      </c>
      <c r="C177" s="131" t="s">
        <v>15</v>
      </c>
      <c r="D177" s="148"/>
      <c r="E177" s="201">
        <f t="shared" si="39"/>
        <v>0</v>
      </c>
      <c r="F177" s="452">
        <v>1275</v>
      </c>
      <c r="G177" s="202">
        <f t="shared" si="40"/>
        <v>0</v>
      </c>
    </row>
    <row r="178" spans="1:7" ht="12.75" customHeight="1">
      <c r="A178" s="48"/>
      <c r="B178" s="72" t="s">
        <v>45</v>
      </c>
      <c r="C178" s="131" t="s">
        <v>15</v>
      </c>
      <c r="D178" s="148"/>
      <c r="E178" s="201">
        <f t="shared" si="39"/>
        <v>0</v>
      </c>
      <c r="F178" s="452">
        <v>1275</v>
      </c>
      <c r="G178" s="202">
        <f t="shared" si="40"/>
        <v>0</v>
      </c>
    </row>
    <row r="179" spans="1:7" ht="12.75" customHeight="1">
      <c r="A179" s="48"/>
      <c r="B179" s="72" t="s">
        <v>46</v>
      </c>
      <c r="C179" s="131" t="s">
        <v>15</v>
      </c>
      <c r="D179" s="148"/>
      <c r="E179" s="201">
        <f t="shared" si="39"/>
        <v>0</v>
      </c>
      <c r="F179" s="452">
        <v>1275</v>
      </c>
      <c r="G179" s="202">
        <f t="shared" si="40"/>
        <v>0</v>
      </c>
    </row>
    <row r="180" spans="1:7" ht="12.75" customHeight="1">
      <c r="A180" s="48"/>
      <c r="B180" s="72" t="s">
        <v>47</v>
      </c>
      <c r="C180" s="131" t="s">
        <v>15</v>
      </c>
      <c r="D180" s="148"/>
      <c r="E180" s="201">
        <f t="shared" si="39"/>
        <v>0</v>
      </c>
      <c r="F180" s="452">
        <v>1275</v>
      </c>
      <c r="G180" s="202">
        <f t="shared" si="40"/>
        <v>0</v>
      </c>
    </row>
    <row r="181" spans="1:7" ht="12.75" customHeight="1">
      <c r="A181" s="48"/>
      <c r="B181" s="72" t="s">
        <v>49</v>
      </c>
      <c r="C181" s="131" t="s">
        <v>15</v>
      </c>
      <c r="D181" s="148"/>
      <c r="E181" s="201">
        <f t="shared" si="39"/>
        <v>0</v>
      </c>
      <c r="F181" s="452">
        <v>1275</v>
      </c>
      <c r="G181" s="202">
        <f t="shared" si="40"/>
        <v>0</v>
      </c>
    </row>
    <row r="182" spans="1:7" ht="12.75" customHeight="1">
      <c r="A182" s="48"/>
      <c r="B182" s="72" t="s">
        <v>48</v>
      </c>
      <c r="C182" s="131" t="s">
        <v>15</v>
      </c>
      <c r="D182" s="148"/>
      <c r="E182" s="201">
        <f t="shared" si="39"/>
        <v>0</v>
      </c>
      <c r="F182" s="452">
        <v>1275</v>
      </c>
      <c r="G182" s="202">
        <f t="shared" si="40"/>
        <v>0</v>
      </c>
    </row>
    <row r="183" spans="1:7" ht="12.75" customHeight="1">
      <c r="A183" s="48"/>
      <c r="B183" s="72" t="s">
        <v>50</v>
      </c>
      <c r="C183" s="131" t="s">
        <v>15</v>
      </c>
      <c r="D183" s="148"/>
      <c r="E183" s="201">
        <f t="shared" si="39"/>
        <v>0</v>
      </c>
      <c r="F183" s="452">
        <v>1275</v>
      </c>
      <c r="G183" s="202">
        <f t="shared" si="40"/>
        <v>0</v>
      </c>
    </row>
    <row r="184" spans="1:7" ht="12.75" customHeight="1">
      <c r="A184" s="48"/>
      <c r="B184" s="72" t="s">
        <v>51</v>
      </c>
      <c r="C184" s="131" t="s">
        <v>15</v>
      </c>
      <c r="D184" s="148"/>
      <c r="E184" s="201">
        <f t="shared" si="39"/>
        <v>0</v>
      </c>
      <c r="F184" s="452">
        <v>1275</v>
      </c>
      <c r="G184" s="202">
        <f t="shared" si="40"/>
        <v>0</v>
      </c>
    </row>
    <row r="185" spans="1:7" ht="12.75" customHeight="1">
      <c r="A185" s="48"/>
      <c r="B185" s="72" t="s">
        <v>52</v>
      </c>
      <c r="C185" s="131" t="s">
        <v>15</v>
      </c>
      <c r="D185" s="148"/>
      <c r="E185" s="201">
        <f t="shared" si="39"/>
        <v>0</v>
      </c>
      <c r="F185" s="452">
        <v>1275</v>
      </c>
      <c r="G185" s="202">
        <f t="shared" si="40"/>
        <v>0</v>
      </c>
    </row>
    <row r="187" spans="1:7" ht="12.75" customHeight="1">
      <c r="A187" s="48"/>
      <c r="B187" s="72"/>
      <c r="C187" s="131"/>
      <c r="D187" s="148"/>
      <c r="E187" s="148"/>
      <c r="F187" s="145"/>
      <c r="G187" s="206"/>
    </row>
    <row r="188" spans="1:7" ht="89.25">
      <c r="A188" s="48"/>
      <c r="B188" s="74" t="s">
        <v>431</v>
      </c>
      <c r="C188" s="179"/>
      <c r="D188" s="151"/>
      <c r="E188" s="205"/>
      <c r="F188" s="188"/>
      <c r="G188" s="204"/>
    </row>
    <row r="189" spans="1:7" ht="12.75" customHeight="1">
      <c r="A189" s="48"/>
      <c r="B189" s="72" t="s">
        <v>32</v>
      </c>
      <c r="C189" s="179" t="s">
        <v>15</v>
      </c>
      <c r="D189" s="151">
        <v>0</v>
      </c>
      <c r="E189" s="205">
        <f t="shared" ref="E189:E209" si="41">+D189</f>
        <v>0</v>
      </c>
      <c r="F189" s="188">
        <v>198</v>
      </c>
      <c r="G189" s="204">
        <f t="shared" ref="G189:G209" si="42">E189*F189</f>
        <v>0</v>
      </c>
    </row>
    <row r="190" spans="1:7" ht="12.75" customHeight="1">
      <c r="A190" s="48"/>
      <c r="B190" s="72" t="s">
        <v>33</v>
      </c>
      <c r="C190" s="179" t="s">
        <v>15</v>
      </c>
      <c r="D190" s="151">
        <v>0</v>
      </c>
      <c r="E190" s="205">
        <f t="shared" si="41"/>
        <v>0</v>
      </c>
      <c r="F190" s="188">
        <v>198</v>
      </c>
      <c r="G190" s="204">
        <f t="shared" si="42"/>
        <v>0</v>
      </c>
    </row>
    <row r="191" spans="1:7" ht="12.75" customHeight="1">
      <c r="A191" s="48"/>
      <c r="B191" s="72" t="s">
        <v>34</v>
      </c>
      <c r="C191" s="179" t="s">
        <v>15</v>
      </c>
      <c r="D191" s="151">
        <v>0</v>
      </c>
      <c r="E191" s="205">
        <f t="shared" si="41"/>
        <v>0</v>
      </c>
      <c r="F191" s="188">
        <v>198</v>
      </c>
      <c r="G191" s="204">
        <f t="shared" si="42"/>
        <v>0</v>
      </c>
    </row>
    <row r="192" spans="1:7" ht="12.75" customHeight="1">
      <c r="A192" s="48"/>
      <c r="B192" s="72" t="s">
        <v>35</v>
      </c>
      <c r="C192" s="179" t="s">
        <v>15</v>
      </c>
      <c r="D192" s="151">
        <v>0</v>
      </c>
      <c r="E192" s="205">
        <f t="shared" si="41"/>
        <v>0</v>
      </c>
      <c r="F192" s="188">
        <v>198</v>
      </c>
      <c r="G192" s="204">
        <f t="shared" si="42"/>
        <v>0</v>
      </c>
    </row>
    <row r="193" spans="1:7" ht="12.75" customHeight="1">
      <c r="A193" s="48"/>
      <c r="B193" s="72" t="s">
        <v>36</v>
      </c>
      <c r="C193" s="179" t="s">
        <v>15</v>
      </c>
      <c r="D193" s="151">
        <v>0</v>
      </c>
      <c r="E193" s="205">
        <f t="shared" si="41"/>
        <v>0</v>
      </c>
      <c r="F193" s="188">
        <v>198</v>
      </c>
      <c r="G193" s="204">
        <f t="shared" si="42"/>
        <v>0</v>
      </c>
    </row>
    <row r="194" spans="1:7" ht="12.75" customHeight="1">
      <c r="A194" s="48"/>
      <c r="B194" s="72" t="s">
        <v>37</v>
      </c>
      <c r="C194" s="179" t="s">
        <v>15</v>
      </c>
      <c r="D194" s="151">
        <v>0</v>
      </c>
      <c r="E194" s="205">
        <f t="shared" si="41"/>
        <v>0</v>
      </c>
      <c r="F194" s="188">
        <v>198</v>
      </c>
      <c r="G194" s="204">
        <f t="shared" si="42"/>
        <v>0</v>
      </c>
    </row>
    <row r="195" spans="1:7" ht="12.75" customHeight="1">
      <c r="A195" s="48"/>
      <c r="B195" s="72" t="s">
        <v>38</v>
      </c>
      <c r="C195" s="179" t="s">
        <v>15</v>
      </c>
      <c r="D195" s="151">
        <v>0</v>
      </c>
      <c r="E195" s="205">
        <f t="shared" si="41"/>
        <v>0</v>
      </c>
      <c r="F195" s="188">
        <v>198</v>
      </c>
      <c r="G195" s="204">
        <f t="shared" si="42"/>
        <v>0</v>
      </c>
    </row>
    <row r="196" spans="1:7" ht="12.75" customHeight="1">
      <c r="A196" s="48"/>
      <c r="B196" s="72" t="s">
        <v>39</v>
      </c>
      <c r="C196" s="179" t="s">
        <v>15</v>
      </c>
      <c r="D196" s="151">
        <v>0</v>
      </c>
      <c r="E196" s="205">
        <f t="shared" si="41"/>
        <v>0</v>
      </c>
      <c r="F196" s="188">
        <v>198</v>
      </c>
      <c r="G196" s="204">
        <f t="shared" si="42"/>
        <v>0</v>
      </c>
    </row>
    <row r="197" spans="1:7" ht="12.75" customHeight="1">
      <c r="A197" s="48"/>
      <c r="B197" s="72" t="s">
        <v>40</v>
      </c>
      <c r="C197" s="179" t="s">
        <v>15</v>
      </c>
      <c r="D197" s="151">
        <v>0</v>
      </c>
      <c r="E197" s="205">
        <f t="shared" si="41"/>
        <v>0</v>
      </c>
      <c r="F197" s="188">
        <v>198</v>
      </c>
      <c r="G197" s="204">
        <f t="shared" si="42"/>
        <v>0</v>
      </c>
    </row>
    <row r="198" spans="1:7" ht="12.75" customHeight="1">
      <c r="A198" s="48"/>
      <c r="B198" s="72" t="s">
        <v>41</v>
      </c>
      <c r="C198" s="179" t="s">
        <v>15</v>
      </c>
      <c r="D198" s="151">
        <v>0</v>
      </c>
      <c r="E198" s="205">
        <f t="shared" si="41"/>
        <v>0</v>
      </c>
      <c r="F198" s="188">
        <v>198</v>
      </c>
      <c r="G198" s="204">
        <f t="shared" si="42"/>
        <v>0</v>
      </c>
    </row>
    <row r="199" spans="1:7" ht="12.75" customHeight="1">
      <c r="A199" s="48"/>
      <c r="B199" s="72" t="s">
        <v>42</v>
      </c>
      <c r="C199" s="179" t="s">
        <v>15</v>
      </c>
      <c r="D199" s="151">
        <v>0</v>
      </c>
      <c r="E199" s="205">
        <f t="shared" si="41"/>
        <v>0</v>
      </c>
      <c r="F199" s="188">
        <v>198</v>
      </c>
      <c r="G199" s="204">
        <f t="shared" si="42"/>
        <v>0</v>
      </c>
    </row>
    <row r="200" spans="1:7" ht="12.75" customHeight="1">
      <c r="A200" s="48"/>
      <c r="B200" s="72" t="s">
        <v>43</v>
      </c>
      <c r="C200" s="179" t="s">
        <v>15</v>
      </c>
      <c r="D200" s="151">
        <v>0</v>
      </c>
      <c r="E200" s="205">
        <f t="shared" si="41"/>
        <v>0</v>
      </c>
      <c r="F200" s="188">
        <v>198</v>
      </c>
      <c r="G200" s="204">
        <f t="shared" si="42"/>
        <v>0</v>
      </c>
    </row>
    <row r="201" spans="1:7" ht="12.75" customHeight="1">
      <c r="A201" s="48"/>
      <c r="B201" s="72" t="s">
        <v>44</v>
      </c>
      <c r="C201" s="179" t="s">
        <v>15</v>
      </c>
      <c r="D201" s="151">
        <v>0</v>
      </c>
      <c r="E201" s="205">
        <f t="shared" si="41"/>
        <v>0</v>
      </c>
      <c r="F201" s="188">
        <v>198</v>
      </c>
      <c r="G201" s="204">
        <f t="shared" si="42"/>
        <v>0</v>
      </c>
    </row>
    <row r="202" spans="1:7" ht="12.75" customHeight="1">
      <c r="A202" s="48"/>
      <c r="B202" s="72" t="s">
        <v>45</v>
      </c>
      <c r="C202" s="179" t="s">
        <v>15</v>
      </c>
      <c r="D202" s="151">
        <v>0</v>
      </c>
      <c r="E202" s="205">
        <f t="shared" si="41"/>
        <v>0</v>
      </c>
      <c r="F202" s="188">
        <v>198</v>
      </c>
      <c r="G202" s="204">
        <f t="shared" si="42"/>
        <v>0</v>
      </c>
    </row>
    <row r="203" spans="1:7" ht="12.75" customHeight="1">
      <c r="A203" s="48"/>
      <c r="B203" s="72" t="s">
        <v>46</v>
      </c>
      <c r="C203" s="179" t="s">
        <v>15</v>
      </c>
      <c r="D203" s="151">
        <v>0</v>
      </c>
      <c r="E203" s="205">
        <f t="shared" si="41"/>
        <v>0</v>
      </c>
      <c r="F203" s="188">
        <v>198</v>
      </c>
      <c r="G203" s="204">
        <f t="shared" si="42"/>
        <v>0</v>
      </c>
    </row>
    <row r="204" spans="1:7" ht="12.75" customHeight="1">
      <c r="A204" s="48"/>
      <c r="B204" s="72" t="s">
        <v>47</v>
      </c>
      <c r="C204" s="179" t="s">
        <v>15</v>
      </c>
      <c r="D204" s="151">
        <v>0</v>
      </c>
      <c r="E204" s="205">
        <f t="shared" si="41"/>
        <v>0</v>
      </c>
      <c r="F204" s="188">
        <v>198</v>
      </c>
      <c r="G204" s="204">
        <f t="shared" si="42"/>
        <v>0</v>
      </c>
    </row>
    <row r="205" spans="1:7" ht="12.75" customHeight="1">
      <c r="A205" s="48"/>
      <c r="B205" s="72" t="s">
        <v>49</v>
      </c>
      <c r="C205" s="179" t="s">
        <v>15</v>
      </c>
      <c r="D205" s="151">
        <v>0</v>
      </c>
      <c r="E205" s="205">
        <f t="shared" si="41"/>
        <v>0</v>
      </c>
      <c r="F205" s="188">
        <v>198</v>
      </c>
      <c r="G205" s="204">
        <f t="shared" si="42"/>
        <v>0</v>
      </c>
    </row>
    <row r="206" spans="1:7" ht="12.75" customHeight="1">
      <c r="A206" s="48"/>
      <c r="B206" s="72" t="s">
        <v>48</v>
      </c>
      <c r="C206" s="179" t="s">
        <v>15</v>
      </c>
      <c r="D206" s="151">
        <v>0</v>
      </c>
      <c r="E206" s="205">
        <f t="shared" si="41"/>
        <v>0</v>
      </c>
      <c r="F206" s="188">
        <v>198</v>
      </c>
      <c r="G206" s="204">
        <f t="shared" si="42"/>
        <v>0</v>
      </c>
    </row>
    <row r="207" spans="1:7" ht="12.75" customHeight="1">
      <c r="A207" s="48"/>
      <c r="B207" s="72" t="s">
        <v>50</v>
      </c>
      <c r="C207" s="179" t="s">
        <v>15</v>
      </c>
      <c r="D207" s="151">
        <v>0</v>
      </c>
      <c r="E207" s="205">
        <f t="shared" si="41"/>
        <v>0</v>
      </c>
      <c r="F207" s="188">
        <v>198</v>
      </c>
      <c r="G207" s="204">
        <f t="shared" si="42"/>
        <v>0</v>
      </c>
    </row>
    <row r="208" spans="1:7" ht="12.75" customHeight="1">
      <c r="A208" s="48"/>
      <c r="B208" s="72" t="s">
        <v>51</v>
      </c>
      <c r="C208" s="179" t="s">
        <v>15</v>
      </c>
      <c r="D208" s="151">
        <v>0</v>
      </c>
      <c r="E208" s="205">
        <f t="shared" si="41"/>
        <v>0</v>
      </c>
      <c r="F208" s="188">
        <v>198</v>
      </c>
      <c r="G208" s="204">
        <f t="shared" si="42"/>
        <v>0</v>
      </c>
    </row>
    <row r="209" spans="1:7" ht="12.75" customHeight="1">
      <c r="A209" s="48"/>
      <c r="B209" s="72" t="s">
        <v>52</v>
      </c>
      <c r="C209" s="179" t="s">
        <v>15</v>
      </c>
      <c r="D209" s="151">
        <v>0</v>
      </c>
      <c r="E209" s="205">
        <f t="shared" si="41"/>
        <v>0</v>
      </c>
      <c r="F209" s="188">
        <v>198</v>
      </c>
      <c r="G209" s="204">
        <f t="shared" si="42"/>
        <v>0</v>
      </c>
    </row>
  </sheetData>
  <conditionalFormatting sqref="F8:F107">
    <cfRule type="cellIs" dxfId="8" priority="1" operator="equal">
      <formula>0</formula>
    </cfRule>
  </conditionalFormatting>
  <pageMargins left="0.78740157480314965" right="0.19685039370078741" top="0.59055118110236227" bottom="0.59055118110236227" header="0" footer="0.19685039370078741"/>
  <pageSetup paperSize="9" orientation="portrait" r:id="rId1"/>
  <headerFooter>
    <oddFooter>Stran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G54"/>
  <sheetViews>
    <sheetView showZeros="0" topLeftCell="A26" workbookViewId="0">
      <selection activeCell="F34" sqref="F8:F34"/>
    </sheetView>
  </sheetViews>
  <sheetFormatPr defaultRowHeight="12.75" customHeight="1"/>
  <cols>
    <col min="1" max="1" width="4.7109375" style="79" customWidth="1"/>
    <col min="2" max="2" width="30.7109375" style="79" customWidth="1"/>
    <col min="3" max="3" width="4.7109375" style="177" customWidth="1"/>
    <col min="4" max="4" width="13.7109375" style="168" customWidth="1"/>
    <col min="5" max="6" width="12.7109375" style="168" customWidth="1"/>
    <col min="7" max="7" width="12.7109375" style="169" customWidth="1"/>
    <col min="244" max="244" width="4.7109375" customWidth="1"/>
    <col min="245" max="245" width="30.7109375" customWidth="1"/>
    <col min="246" max="246" width="4.7109375" customWidth="1"/>
    <col min="247" max="247" width="13.7109375" customWidth="1"/>
    <col min="248" max="250" width="12.7109375" customWidth="1"/>
    <col min="252" max="252" width="21" customWidth="1"/>
    <col min="253" max="253" width="36.5703125" customWidth="1"/>
    <col min="500" max="500" width="4.7109375" customWidth="1"/>
    <col min="501" max="501" width="30.7109375" customWidth="1"/>
    <col min="502" max="502" width="4.7109375" customWidth="1"/>
    <col min="503" max="503" width="13.7109375" customWidth="1"/>
    <col min="504" max="506" width="12.7109375" customWidth="1"/>
    <col min="508" max="508" width="21" customWidth="1"/>
    <col min="509" max="509" width="36.5703125" customWidth="1"/>
    <col min="756" max="756" width="4.7109375" customWidth="1"/>
    <col min="757" max="757" width="30.7109375" customWidth="1"/>
    <col min="758" max="758" width="4.7109375" customWidth="1"/>
    <col min="759" max="759" width="13.7109375" customWidth="1"/>
    <col min="760" max="762" width="12.7109375" customWidth="1"/>
    <col min="764" max="764" width="21" customWidth="1"/>
    <col min="765" max="765" width="36.5703125" customWidth="1"/>
    <col min="1012" max="1012" width="4.7109375" customWidth="1"/>
    <col min="1013" max="1013" width="30.7109375" customWidth="1"/>
    <col min="1014" max="1014" width="4.7109375" customWidth="1"/>
    <col min="1015" max="1015" width="13.7109375" customWidth="1"/>
    <col min="1016" max="1018" width="12.7109375" customWidth="1"/>
    <col min="1020" max="1020" width="21" customWidth="1"/>
    <col min="1021" max="1021" width="36.5703125" customWidth="1"/>
    <col min="1268" max="1268" width="4.7109375" customWidth="1"/>
    <col min="1269" max="1269" width="30.7109375" customWidth="1"/>
    <col min="1270" max="1270" width="4.7109375" customWidth="1"/>
    <col min="1271" max="1271" width="13.7109375" customWidth="1"/>
    <col min="1272" max="1274" width="12.7109375" customWidth="1"/>
    <col min="1276" max="1276" width="21" customWidth="1"/>
    <col min="1277" max="1277" width="36.5703125" customWidth="1"/>
    <col min="1524" max="1524" width="4.7109375" customWidth="1"/>
    <col min="1525" max="1525" width="30.7109375" customWidth="1"/>
    <col min="1526" max="1526" width="4.7109375" customWidth="1"/>
    <col min="1527" max="1527" width="13.7109375" customWidth="1"/>
    <col min="1528" max="1530" width="12.7109375" customWidth="1"/>
    <col min="1532" max="1532" width="21" customWidth="1"/>
    <col min="1533" max="1533" width="36.5703125" customWidth="1"/>
    <col min="1780" max="1780" width="4.7109375" customWidth="1"/>
    <col min="1781" max="1781" width="30.7109375" customWidth="1"/>
    <col min="1782" max="1782" width="4.7109375" customWidth="1"/>
    <col min="1783" max="1783" width="13.7109375" customWidth="1"/>
    <col min="1784" max="1786" width="12.7109375" customWidth="1"/>
    <col min="1788" max="1788" width="21" customWidth="1"/>
    <col min="1789" max="1789" width="36.5703125" customWidth="1"/>
    <col min="2036" max="2036" width="4.7109375" customWidth="1"/>
    <col min="2037" max="2037" width="30.7109375" customWidth="1"/>
    <col min="2038" max="2038" width="4.7109375" customWidth="1"/>
    <col min="2039" max="2039" width="13.7109375" customWidth="1"/>
    <col min="2040" max="2042" width="12.7109375" customWidth="1"/>
    <col min="2044" max="2044" width="21" customWidth="1"/>
    <col min="2045" max="2045" width="36.5703125" customWidth="1"/>
    <col min="2292" max="2292" width="4.7109375" customWidth="1"/>
    <col min="2293" max="2293" width="30.7109375" customWidth="1"/>
    <col min="2294" max="2294" width="4.7109375" customWidth="1"/>
    <col min="2295" max="2295" width="13.7109375" customWidth="1"/>
    <col min="2296" max="2298" width="12.7109375" customWidth="1"/>
    <col min="2300" max="2300" width="21" customWidth="1"/>
    <col min="2301" max="2301" width="36.5703125" customWidth="1"/>
    <col min="2548" max="2548" width="4.7109375" customWidth="1"/>
    <col min="2549" max="2549" width="30.7109375" customWidth="1"/>
    <col min="2550" max="2550" width="4.7109375" customWidth="1"/>
    <col min="2551" max="2551" width="13.7109375" customWidth="1"/>
    <col min="2552" max="2554" width="12.7109375" customWidth="1"/>
    <col min="2556" max="2556" width="21" customWidth="1"/>
    <col min="2557" max="2557" width="36.5703125" customWidth="1"/>
    <col min="2804" max="2804" width="4.7109375" customWidth="1"/>
    <col min="2805" max="2805" width="30.7109375" customWidth="1"/>
    <col min="2806" max="2806" width="4.7109375" customWidth="1"/>
    <col min="2807" max="2807" width="13.7109375" customWidth="1"/>
    <col min="2808" max="2810" width="12.7109375" customWidth="1"/>
    <col min="2812" max="2812" width="21" customWidth="1"/>
    <col min="2813" max="2813" width="36.5703125" customWidth="1"/>
    <col min="3060" max="3060" width="4.7109375" customWidth="1"/>
    <col min="3061" max="3061" width="30.7109375" customWidth="1"/>
    <col min="3062" max="3062" width="4.7109375" customWidth="1"/>
    <col min="3063" max="3063" width="13.7109375" customWidth="1"/>
    <col min="3064" max="3066" width="12.7109375" customWidth="1"/>
    <col min="3068" max="3068" width="21" customWidth="1"/>
    <col min="3069" max="3069" width="36.5703125" customWidth="1"/>
    <col min="3316" max="3316" width="4.7109375" customWidth="1"/>
    <col min="3317" max="3317" width="30.7109375" customWidth="1"/>
    <col min="3318" max="3318" width="4.7109375" customWidth="1"/>
    <col min="3319" max="3319" width="13.7109375" customWidth="1"/>
    <col min="3320" max="3322" width="12.7109375" customWidth="1"/>
    <col min="3324" max="3324" width="21" customWidth="1"/>
    <col min="3325" max="3325" width="36.5703125" customWidth="1"/>
    <col min="3572" max="3572" width="4.7109375" customWidth="1"/>
    <col min="3573" max="3573" width="30.7109375" customWidth="1"/>
    <col min="3574" max="3574" width="4.7109375" customWidth="1"/>
    <col min="3575" max="3575" width="13.7109375" customWidth="1"/>
    <col min="3576" max="3578" width="12.7109375" customWidth="1"/>
    <col min="3580" max="3580" width="21" customWidth="1"/>
    <col min="3581" max="3581" width="36.5703125" customWidth="1"/>
    <col min="3828" max="3828" width="4.7109375" customWidth="1"/>
    <col min="3829" max="3829" width="30.7109375" customWidth="1"/>
    <col min="3830" max="3830" width="4.7109375" customWidth="1"/>
    <col min="3831" max="3831" width="13.7109375" customWidth="1"/>
    <col min="3832" max="3834" width="12.7109375" customWidth="1"/>
    <col min="3836" max="3836" width="21" customWidth="1"/>
    <col min="3837" max="3837" width="36.5703125" customWidth="1"/>
    <col min="4084" max="4084" width="4.7109375" customWidth="1"/>
    <col min="4085" max="4085" width="30.7109375" customWidth="1"/>
    <col min="4086" max="4086" width="4.7109375" customWidth="1"/>
    <col min="4087" max="4087" width="13.7109375" customWidth="1"/>
    <col min="4088" max="4090" width="12.7109375" customWidth="1"/>
    <col min="4092" max="4092" width="21" customWidth="1"/>
    <col min="4093" max="4093" width="36.5703125" customWidth="1"/>
    <col min="4340" max="4340" width="4.7109375" customWidth="1"/>
    <col min="4341" max="4341" width="30.7109375" customWidth="1"/>
    <col min="4342" max="4342" width="4.7109375" customWidth="1"/>
    <col min="4343" max="4343" width="13.7109375" customWidth="1"/>
    <col min="4344" max="4346" width="12.7109375" customWidth="1"/>
    <col min="4348" max="4348" width="21" customWidth="1"/>
    <col min="4349" max="4349" width="36.5703125" customWidth="1"/>
    <col min="4596" max="4596" width="4.7109375" customWidth="1"/>
    <col min="4597" max="4597" width="30.7109375" customWidth="1"/>
    <col min="4598" max="4598" width="4.7109375" customWidth="1"/>
    <col min="4599" max="4599" width="13.7109375" customWidth="1"/>
    <col min="4600" max="4602" width="12.7109375" customWidth="1"/>
    <col min="4604" max="4604" width="21" customWidth="1"/>
    <col min="4605" max="4605" width="36.5703125" customWidth="1"/>
    <col min="4852" max="4852" width="4.7109375" customWidth="1"/>
    <col min="4853" max="4853" width="30.7109375" customWidth="1"/>
    <col min="4854" max="4854" width="4.7109375" customWidth="1"/>
    <col min="4855" max="4855" width="13.7109375" customWidth="1"/>
    <col min="4856" max="4858" width="12.7109375" customWidth="1"/>
    <col min="4860" max="4860" width="21" customWidth="1"/>
    <col min="4861" max="4861" width="36.5703125" customWidth="1"/>
    <col min="5108" max="5108" width="4.7109375" customWidth="1"/>
    <col min="5109" max="5109" width="30.7109375" customWidth="1"/>
    <col min="5110" max="5110" width="4.7109375" customWidth="1"/>
    <col min="5111" max="5111" width="13.7109375" customWidth="1"/>
    <col min="5112" max="5114" width="12.7109375" customWidth="1"/>
    <col min="5116" max="5116" width="21" customWidth="1"/>
    <col min="5117" max="5117" width="36.5703125" customWidth="1"/>
    <col min="5364" max="5364" width="4.7109375" customWidth="1"/>
    <col min="5365" max="5365" width="30.7109375" customWidth="1"/>
    <col min="5366" max="5366" width="4.7109375" customWidth="1"/>
    <col min="5367" max="5367" width="13.7109375" customWidth="1"/>
    <col min="5368" max="5370" width="12.7109375" customWidth="1"/>
    <col min="5372" max="5372" width="21" customWidth="1"/>
    <col min="5373" max="5373" width="36.5703125" customWidth="1"/>
    <col min="5620" max="5620" width="4.7109375" customWidth="1"/>
    <col min="5621" max="5621" width="30.7109375" customWidth="1"/>
    <col min="5622" max="5622" width="4.7109375" customWidth="1"/>
    <col min="5623" max="5623" width="13.7109375" customWidth="1"/>
    <col min="5624" max="5626" width="12.7109375" customWidth="1"/>
    <col min="5628" max="5628" width="21" customWidth="1"/>
    <col min="5629" max="5629" width="36.5703125" customWidth="1"/>
    <col min="5876" max="5876" width="4.7109375" customWidth="1"/>
    <col min="5877" max="5877" width="30.7109375" customWidth="1"/>
    <col min="5878" max="5878" width="4.7109375" customWidth="1"/>
    <col min="5879" max="5879" width="13.7109375" customWidth="1"/>
    <col min="5880" max="5882" width="12.7109375" customWidth="1"/>
    <col min="5884" max="5884" width="21" customWidth="1"/>
    <col min="5885" max="5885" width="36.5703125" customWidth="1"/>
    <col min="6132" max="6132" width="4.7109375" customWidth="1"/>
    <col min="6133" max="6133" width="30.7109375" customWidth="1"/>
    <col min="6134" max="6134" width="4.7109375" customWidth="1"/>
    <col min="6135" max="6135" width="13.7109375" customWidth="1"/>
    <col min="6136" max="6138" width="12.7109375" customWidth="1"/>
    <col min="6140" max="6140" width="21" customWidth="1"/>
    <col min="6141" max="6141" width="36.5703125" customWidth="1"/>
    <col min="6388" max="6388" width="4.7109375" customWidth="1"/>
    <col min="6389" max="6389" width="30.7109375" customWidth="1"/>
    <col min="6390" max="6390" width="4.7109375" customWidth="1"/>
    <col min="6391" max="6391" width="13.7109375" customWidth="1"/>
    <col min="6392" max="6394" width="12.7109375" customWidth="1"/>
    <col min="6396" max="6396" width="21" customWidth="1"/>
    <col min="6397" max="6397" width="36.5703125" customWidth="1"/>
    <col min="6644" max="6644" width="4.7109375" customWidth="1"/>
    <col min="6645" max="6645" width="30.7109375" customWidth="1"/>
    <col min="6646" max="6646" width="4.7109375" customWidth="1"/>
    <col min="6647" max="6647" width="13.7109375" customWidth="1"/>
    <col min="6648" max="6650" width="12.7109375" customWidth="1"/>
    <col min="6652" max="6652" width="21" customWidth="1"/>
    <col min="6653" max="6653" width="36.5703125" customWidth="1"/>
    <col min="6900" max="6900" width="4.7109375" customWidth="1"/>
    <col min="6901" max="6901" width="30.7109375" customWidth="1"/>
    <col min="6902" max="6902" width="4.7109375" customWidth="1"/>
    <col min="6903" max="6903" width="13.7109375" customWidth="1"/>
    <col min="6904" max="6906" width="12.7109375" customWidth="1"/>
    <col min="6908" max="6908" width="21" customWidth="1"/>
    <col min="6909" max="6909" width="36.5703125" customWidth="1"/>
    <col min="7156" max="7156" width="4.7109375" customWidth="1"/>
    <col min="7157" max="7157" width="30.7109375" customWidth="1"/>
    <col min="7158" max="7158" width="4.7109375" customWidth="1"/>
    <col min="7159" max="7159" width="13.7109375" customWidth="1"/>
    <col min="7160" max="7162" width="12.7109375" customWidth="1"/>
    <col min="7164" max="7164" width="21" customWidth="1"/>
    <col min="7165" max="7165" width="36.5703125" customWidth="1"/>
    <col min="7412" max="7412" width="4.7109375" customWidth="1"/>
    <col min="7413" max="7413" width="30.7109375" customWidth="1"/>
    <col min="7414" max="7414" width="4.7109375" customWidth="1"/>
    <col min="7415" max="7415" width="13.7109375" customWidth="1"/>
    <col min="7416" max="7418" width="12.7109375" customWidth="1"/>
    <col min="7420" max="7420" width="21" customWidth="1"/>
    <col min="7421" max="7421" width="36.5703125" customWidth="1"/>
    <col min="7668" max="7668" width="4.7109375" customWidth="1"/>
    <col min="7669" max="7669" width="30.7109375" customWidth="1"/>
    <col min="7670" max="7670" width="4.7109375" customWidth="1"/>
    <col min="7671" max="7671" width="13.7109375" customWidth="1"/>
    <col min="7672" max="7674" width="12.7109375" customWidth="1"/>
    <col min="7676" max="7676" width="21" customWidth="1"/>
    <col min="7677" max="7677" width="36.5703125" customWidth="1"/>
    <col min="7924" max="7924" width="4.7109375" customWidth="1"/>
    <col min="7925" max="7925" width="30.7109375" customWidth="1"/>
    <col min="7926" max="7926" width="4.7109375" customWidth="1"/>
    <col min="7927" max="7927" width="13.7109375" customWidth="1"/>
    <col min="7928" max="7930" width="12.7109375" customWidth="1"/>
    <col min="7932" max="7932" width="21" customWidth="1"/>
    <col min="7933" max="7933" width="36.5703125" customWidth="1"/>
    <col min="8180" max="8180" width="4.7109375" customWidth="1"/>
    <col min="8181" max="8181" width="30.7109375" customWidth="1"/>
    <col min="8182" max="8182" width="4.7109375" customWidth="1"/>
    <col min="8183" max="8183" width="13.7109375" customWidth="1"/>
    <col min="8184" max="8186" width="12.7109375" customWidth="1"/>
    <col min="8188" max="8188" width="21" customWidth="1"/>
    <col min="8189" max="8189" width="36.5703125" customWidth="1"/>
    <col min="8436" max="8436" width="4.7109375" customWidth="1"/>
    <col min="8437" max="8437" width="30.7109375" customWidth="1"/>
    <col min="8438" max="8438" width="4.7109375" customWidth="1"/>
    <col min="8439" max="8439" width="13.7109375" customWidth="1"/>
    <col min="8440" max="8442" width="12.7109375" customWidth="1"/>
    <col min="8444" max="8444" width="21" customWidth="1"/>
    <col min="8445" max="8445" width="36.5703125" customWidth="1"/>
    <col min="8692" max="8692" width="4.7109375" customWidth="1"/>
    <col min="8693" max="8693" width="30.7109375" customWidth="1"/>
    <col min="8694" max="8694" width="4.7109375" customWidth="1"/>
    <col min="8695" max="8695" width="13.7109375" customWidth="1"/>
    <col min="8696" max="8698" width="12.7109375" customWidth="1"/>
    <col min="8700" max="8700" width="21" customWidth="1"/>
    <col min="8701" max="8701" width="36.5703125" customWidth="1"/>
    <col min="8948" max="8948" width="4.7109375" customWidth="1"/>
    <col min="8949" max="8949" width="30.7109375" customWidth="1"/>
    <col min="8950" max="8950" width="4.7109375" customWidth="1"/>
    <col min="8951" max="8951" width="13.7109375" customWidth="1"/>
    <col min="8952" max="8954" width="12.7109375" customWidth="1"/>
    <col min="8956" max="8956" width="21" customWidth="1"/>
    <col min="8957" max="8957" width="36.5703125" customWidth="1"/>
    <col min="9204" max="9204" width="4.7109375" customWidth="1"/>
    <col min="9205" max="9205" width="30.7109375" customWidth="1"/>
    <col min="9206" max="9206" width="4.7109375" customWidth="1"/>
    <col min="9207" max="9207" width="13.7109375" customWidth="1"/>
    <col min="9208" max="9210" width="12.7109375" customWidth="1"/>
    <col min="9212" max="9212" width="21" customWidth="1"/>
    <col min="9213" max="9213" width="36.5703125" customWidth="1"/>
    <col min="9460" max="9460" width="4.7109375" customWidth="1"/>
    <col min="9461" max="9461" width="30.7109375" customWidth="1"/>
    <col min="9462" max="9462" width="4.7109375" customWidth="1"/>
    <col min="9463" max="9463" width="13.7109375" customWidth="1"/>
    <col min="9464" max="9466" width="12.7109375" customWidth="1"/>
    <col min="9468" max="9468" width="21" customWidth="1"/>
    <col min="9469" max="9469" width="36.5703125" customWidth="1"/>
    <col min="9716" max="9716" width="4.7109375" customWidth="1"/>
    <col min="9717" max="9717" width="30.7109375" customWidth="1"/>
    <col min="9718" max="9718" width="4.7109375" customWidth="1"/>
    <col min="9719" max="9719" width="13.7109375" customWidth="1"/>
    <col min="9720" max="9722" width="12.7109375" customWidth="1"/>
    <col min="9724" max="9724" width="21" customWidth="1"/>
    <col min="9725" max="9725" width="36.5703125" customWidth="1"/>
    <col min="9972" max="9972" width="4.7109375" customWidth="1"/>
    <col min="9973" max="9973" width="30.7109375" customWidth="1"/>
    <col min="9974" max="9974" width="4.7109375" customWidth="1"/>
    <col min="9975" max="9975" width="13.7109375" customWidth="1"/>
    <col min="9976" max="9978" width="12.7109375" customWidth="1"/>
    <col min="9980" max="9980" width="21" customWidth="1"/>
    <col min="9981" max="9981" width="36.5703125" customWidth="1"/>
    <col min="10228" max="10228" width="4.7109375" customWidth="1"/>
    <col min="10229" max="10229" width="30.7109375" customWidth="1"/>
    <col min="10230" max="10230" width="4.7109375" customWidth="1"/>
    <col min="10231" max="10231" width="13.7109375" customWidth="1"/>
    <col min="10232" max="10234" width="12.7109375" customWidth="1"/>
    <col min="10236" max="10236" width="21" customWidth="1"/>
    <col min="10237" max="10237" width="36.5703125" customWidth="1"/>
    <col min="10484" max="10484" width="4.7109375" customWidth="1"/>
    <col min="10485" max="10485" width="30.7109375" customWidth="1"/>
    <col min="10486" max="10486" width="4.7109375" customWidth="1"/>
    <col min="10487" max="10487" width="13.7109375" customWidth="1"/>
    <col min="10488" max="10490" width="12.7109375" customWidth="1"/>
    <col min="10492" max="10492" width="21" customWidth="1"/>
    <col min="10493" max="10493" width="36.5703125" customWidth="1"/>
    <col min="10740" max="10740" width="4.7109375" customWidth="1"/>
    <col min="10741" max="10741" width="30.7109375" customWidth="1"/>
    <col min="10742" max="10742" width="4.7109375" customWidth="1"/>
    <col min="10743" max="10743" width="13.7109375" customWidth="1"/>
    <col min="10744" max="10746" width="12.7109375" customWidth="1"/>
    <col min="10748" max="10748" width="21" customWidth="1"/>
    <col min="10749" max="10749" width="36.5703125" customWidth="1"/>
    <col min="10996" max="10996" width="4.7109375" customWidth="1"/>
    <col min="10997" max="10997" width="30.7109375" customWidth="1"/>
    <col min="10998" max="10998" width="4.7109375" customWidth="1"/>
    <col min="10999" max="10999" width="13.7109375" customWidth="1"/>
    <col min="11000" max="11002" width="12.7109375" customWidth="1"/>
    <col min="11004" max="11004" width="21" customWidth="1"/>
    <col min="11005" max="11005" width="36.5703125" customWidth="1"/>
    <col min="11252" max="11252" width="4.7109375" customWidth="1"/>
    <col min="11253" max="11253" width="30.7109375" customWidth="1"/>
    <col min="11254" max="11254" width="4.7109375" customWidth="1"/>
    <col min="11255" max="11255" width="13.7109375" customWidth="1"/>
    <col min="11256" max="11258" width="12.7109375" customWidth="1"/>
    <col min="11260" max="11260" width="21" customWidth="1"/>
    <col min="11261" max="11261" width="36.5703125" customWidth="1"/>
    <col min="11508" max="11508" width="4.7109375" customWidth="1"/>
    <col min="11509" max="11509" width="30.7109375" customWidth="1"/>
    <col min="11510" max="11510" width="4.7109375" customWidth="1"/>
    <col min="11511" max="11511" width="13.7109375" customWidth="1"/>
    <col min="11512" max="11514" width="12.7109375" customWidth="1"/>
    <col min="11516" max="11516" width="21" customWidth="1"/>
    <col min="11517" max="11517" width="36.5703125" customWidth="1"/>
    <col min="11764" max="11764" width="4.7109375" customWidth="1"/>
    <col min="11765" max="11765" width="30.7109375" customWidth="1"/>
    <col min="11766" max="11766" width="4.7109375" customWidth="1"/>
    <col min="11767" max="11767" width="13.7109375" customWidth="1"/>
    <col min="11768" max="11770" width="12.7109375" customWidth="1"/>
    <col min="11772" max="11772" width="21" customWidth="1"/>
    <col min="11773" max="11773" width="36.5703125" customWidth="1"/>
    <col min="12020" max="12020" width="4.7109375" customWidth="1"/>
    <col min="12021" max="12021" width="30.7109375" customWidth="1"/>
    <col min="12022" max="12022" width="4.7109375" customWidth="1"/>
    <col min="12023" max="12023" width="13.7109375" customWidth="1"/>
    <col min="12024" max="12026" width="12.7109375" customWidth="1"/>
    <col min="12028" max="12028" width="21" customWidth="1"/>
    <col min="12029" max="12029" width="36.5703125" customWidth="1"/>
    <col min="12276" max="12276" width="4.7109375" customWidth="1"/>
    <col min="12277" max="12277" width="30.7109375" customWidth="1"/>
    <col min="12278" max="12278" width="4.7109375" customWidth="1"/>
    <col min="12279" max="12279" width="13.7109375" customWidth="1"/>
    <col min="12280" max="12282" width="12.7109375" customWidth="1"/>
    <col min="12284" max="12284" width="21" customWidth="1"/>
    <col min="12285" max="12285" width="36.5703125" customWidth="1"/>
    <col min="12532" max="12532" width="4.7109375" customWidth="1"/>
    <col min="12533" max="12533" width="30.7109375" customWidth="1"/>
    <col min="12534" max="12534" width="4.7109375" customWidth="1"/>
    <col min="12535" max="12535" width="13.7109375" customWidth="1"/>
    <col min="12536" max="12538" width="12.7109375" customWidth="1"/>
    <col min="12540" max="12540" width="21" customWidth="1"/>
    <col min="12541" max="12541" width="36.5703125" customWidth="1"/>
    <col min="12788" max="12788" width="4.7109375" customWidth="1"/>
    <col min="12789" max="12789" width="30.7109375" customWidth="1"/>
    <col min="12790" max="12790" width="4.7109375" customWidth="1"/>
    <col min="12791" max="12791" width="13.7109375" customWidth="1"/>
    <col min="12792" max="12794" width="12.7109375" customWidth="1"/>
    <col min="12796" max="12796" width="21" customWidth="1"/>
    <col min="12797" max="12797" width="36.5703125" customWidth="1"/>
    <col min="13044" max="13044" width="4.7109375" customWidth="1"/>
    <col min="13045" max="13045" width="30.7109375" customWidth="1"/>
    <col min="13046" max="13046" width="4.7109375" customWidth="1"/>
    <col min="13047" max="13047" width="13.7109375" customWidth="1"/>
    <col min="13048" max="13050" width="12.7109375" customWidth="1"/>
    <col min="13052" max="13052" width="21" customWidth="1"/>
    <col min="13053" max="13053" width="36.5703125" customWidth="1"/>
    <col min="13300" max="13300" width="4.7109375" customWidth="1"/>
    <col min="13301" max="13301" width="30.7109375" customWidth="1"/>
    <col min="13302" max="13302" width="4.7109375" customWidth="1"/>
    <col min="13303" max="13303" width="13.7109375" customWidth="1"/>
    <col min="13304" max="13306" width="12.7109375" customWidth="1"/>
    <col min="13308" max="13308" width="21" customWidth="1"/>
    <col min="13309" max="13309" width="36.5703125" customWidth="1"/>
    <col min="13556" max="13556" width="4.7109375" customWidth="1"/>
    <col min="13557" max="13557" width="30.7109375" customWidth="1"/>
    <col min="13558" max="13558" width="4.7109375" customWidth="1"/>
    <col min="13559" max="13559" width="13.7109375" customWidth="1"/>
    <col min="13560" max="13562" width="12.7109375" customWidth="1"/>
    <col min="13564" max="13564" width="21" customWidth="1"/>
    <col min="13565" max="13565" width="36.5703125" customWidth="1"/>
    <col min="13812" max="13812" width="4.7109375" customWidth="1"/>
    <col min="13813" max="13813" width="30.7109375" customWidth="1"/>
    <col min="13814" max="13814" width="4.7109375" customWidth="1"/>
    <col min="13815" max="13815" width="13.7109375" customWidth="1"/>
    <col min="13816" max="13818" width="12.7109375" customWidth="1"/>
    <col min="13820" max="13820" width="21" customWidth="1"/>
    <col min="13821" max="13821" width="36.5703125" customWidth="1"/>
    <col min="14068" max="14068" width="4.7109375" customWidth="1"/>
    <col min="14069" max="14069" width="30.7109375" customWidth="1"/>
    <col min="14070" max="14070" width="4.7109375" customWidth="1"/>
    <col min="14071" max="14071" width="13.7109375" customWidth="1"/>
    <col min="14072" max="14074" width="12.7109375" customWidth="1"/>
    <col min="14076" max="14076" width="21" customWidth="1"/>
    <col min="14077" max="14077" width="36.5703125" customWidth="1"/>
    <col min="14324" max="14324" width="4.7109375" customWidth="1"/>
    <col min="14325" max="14325" width="30.7109375" customWidth="1"/>
    <col min="14326" max="14326" width="4.7109375" customWidth="1"/>
    <col min="14327" max="14327" width="13.7109375" customWidth="1"/>
    <col min="14328" max="14330" width="12.7109375" customWidth="1"/>
    <col min="14332" max="14332" width="21" customWidth="1"/>
    <col min="14333" max="14333" width="36.5703125" customWidth="1"/>
    <col min="14580" max="14580" width="4.7109375" customWidth="1"/>
    <col min="14581" max="14581" width="30.7109375" customWidth="1"/>
    <col min="14582" max="14582" width="4.7109375" customWidth="1"/>
    <col min="14583" max="14583" width="13.7109375" customWidth="1"/>
    <col min="14584" max="14586" width="12.7109375" customWidth="1"/>
    <col min="14588" max="14588" width="21" customWidth="1"/>
    <col min="14589" max="14589" width="36.5703125" customWidth="1"/>
    <col min="14836" max="14836" width="4.7109375" customWidth="1"/>
    <col min="14837" max="14837" width="30.7109375" customWidth="1"/>
    <col min="14838" max="14838" width="4.7109375" customWidth="1"/>
    <col min="14839" max="14839" width="13.7109375" customWidth="1"/>
    <col min="14840" max="14842" width="12.7109375" customWidth="1"/>
    <col min="14844" max="14844" width="21" customWidth="1"/>
    <col min="14845" max="14845" width="36.5703125" customWidth="1"/>
    <col min="15092" max="15092" width="4.7109375" customWidth="1"/>
    <col min="15093" max="15093" width="30.7109375" customWidth="1"/>
    <col min="15094" max="15094" width="4.7109375" customWidth="1"/>
    <col min="15095" max="15095" width="13.7109375" customWidth="1"/>
    <col min="15096" max="15098" width="12.7109375" customWidth="1"/>
    <col min="15100" max="15100" width="21" customWidth="1"/>
    <col min="15101" max="15101" width="36.5703125" customWidth="1"/>
    <col min="15348" max="15348" width="4.7109375" customWidth="1"/>
    <col min="15349" max="15349" width="30.7109375" customWidth="1"/>
    <col min="15350" max="15350" width="4.7109375" customWidth="1"/>
    <col min="15351" max="15351" width="13.7109375" customWidth="1"/>
    <col min="15352" max="15354" width="12.7109375" customWidth="1"/>
    <col min="15356" max="15356" width="21" customWidth="1"/>
    <col min="15357" max="15357" width="36.5703125" customWidth="1"/>
    <col min="15604" max="15604" width="4.7109375" customWidth="1"/>
    <col min="15605" max="15605" width="30.7109375" customWidth="1"/>
    <col min="15606" max="15606" width="4.7109375" customWidth="1"/>
    <col min="15607" max="15607" width="13.7109375" customWidth="1"/>
    <col min="15608" max="15610" width="12.7109375" customWidth="1"/>
    <col min="15612" max="15612" width="21" customWidth="1"/>
    <col min="15613" max="15613" width="36.5703125" customWidth="1"/>
    <col min="15860" max="15860" width="4.7109375" customWidth="1"/>
    <col min="15861" max="15861" width="30.7109375" customWidth="1"/>
    <col min="15862" max="15862" width="4.7109375" customWidth="1"/>
    <col min="15863" max="15863" width="13.7109375" customWidth="1"/>
    <col min="15864" max="15866" width="12.7109375" customWidth="1"/>
    <col min="15868" max="15868" width="21" customWidth="1"/>
    <col min="15869" max="15869" width="36.5703125" customWidth="1"/>
    <col min="16116" max="16116" width="4.7109375" customWidth="1"/>
    <col min="16117" max="16117" width="30.7109375" customWidth="1"/>
    <col min="16118" max="16118" width="4.7109375" customWidth="1"/>
    <col min="16119" max="16119" width="13.7109375" customWidth="1"/>
    <col min="16120" max="16122" width="12.7109375" customWidth="1"/>
    <col min="16124" max="16124" width="21" customWidth="1"/>
    <col min="16125" max="16125" width="36.5703125" customWidth="1"/>
  </cols>
  <sheetData>
    <row r="1" spans="1:7" ht="12.75" customHeight="1">
      <c r="B1" s="104" t="s">
        <v>27</v>
      </c>
    </row>
    <row r="2" spans="1:7" ht="12.75" customHeight="1">
      <c r="B2" s="104" t="s">
        <v>28</v>
      </c>
    </row>
    <row r="3" spans="1:7" ht="12.75" customHeight="1">
      <c r="B3" s="105" t="s">
        <v>29</v>
      </c>
    </row>
    <row r="5" spans="1:7" ht="15.75">
      <c r="A5" s="22" t="s">
        <v>66</v>
      </c>
      <c r="B5" s="23" t="s">
        <v>65</v>
      </c>
      <c r="C5" s="131"/>
      <c r="D5" s="170"/>
      <c r="E5" s="171"/>
      <c r="F5" s="171"/>
      <c r="G5" s="144"/>
    </row>
    <row r="6" spans="1:7" ht="12.75" customHeight="1">
      <c r="A6" s="48"/>
      <c r="B6" s="49"/>
      <c r="C6" s="131"/>
      <c r="D6" s="170"/>
      <c r="E6" s="171"/>
      <c r="F6" s="171"/>
      <c r="G6" s="144"/>
    </row>
    <row r="7" spans="1:7" ht="128.25" customHeight="1">
      <c r="A7" s="48">
        <v>1</v>
      </c>
      <c r="B7" s="56" t="s">
        <v>432</v>
      </c>
      <c r="C7" s="36"/>
      <c r="D7" s="161"/>
      <c r="E7" s="161"/>
      <c r="F7" s="161"/>
      <c r="G7" s="189"/>
    </row>
    <row r="8" spans="1:7" ht="15">
      <c r="A8" s="48"/>
      <c r="B8" s="72" t="s">
        <v>80</v>
      </c>
      <c r="C8" s="36" t="s">
        <v>16</v>
      </c>
      <c r="D8" s="161" t="s">
        <v>255</v>
      </c>
      <c r="E8" s="161">
        <f>175*0.71</f>
        <v>124.25</v>
      </c>
      <c r="F8" s="54"/>
      <c r="G8" s="248">
        <f t="shared" ref="G8:G11" si="0">E8*F8</f>
        <v>0</v>
      </c>
    </row>
    <row r="9" spans="1:7" ht="25.5">
      <c r="A9" s="48"/>
      <c r="B9" s="72" t="s">
        <v>81</v>
      </c>
      <c r="C9" s="36" t="s">
        <v>16</v>
      </c>
      <c r="D9" s="161" t="s">
        <v>466</v>
      </c>
      <c r="E9" s="54">
        <f>84*0.58+9*1.71</f>
        <v>64.11</v>
      </c>
      <c r="F9" s="54"/>
      <c r="G9" s="248">
        <f t="shared" si="0"/>
        <v>0</v>
      </c>
    </row>
    <row r="10" spans="1:7" ht="25.5">
      <c r="A10" s="48"/>
      <c r="B10" s="72" t="s">
        <v>83</v>
      </c>
      <c r="C10" s="36" t="s">
        <v>16</v>
      </c>
      <c r="D10" s="161" t="s">
        <v>467</v>
      </c>
      <c r="E10" s="54">
        <f>28*0.6+4*1.71</f>
        <v>23.64</v>
      </c>
      <c r="F10" s="54"/>
      <c r="G10" s="248">
        <f t="shared" si="0"/>
        <v>0</v>
      </c>
    </row>
    <row r="11" spans="1:7" ht="25.5">
      <c r="A11" s="48"/>
      <c r="B11" s="72" t="s">
        <v>82</v>
      </c>
      <c r="C11" s="36" t="s">
        <v>16</v>
      </c>
      <c r="D11" s="161" t="s">
        <v>468</v>
      </c>
      <c r="E11" s="54">
        <f>155*0.7+18*1.71</f>
        <v>139.28</v>
      </c>
      <c r="F11" s="54"/>
      <c r="G11" s="248">
        <f t="shared" si="0"/>
        <v>0</v>
      </c>
    </row>
    <row r="12" spans="1:7" ht="12.75" customHeight="1">
      <c r="A12" s="48"/>
      <c r="B12" s="72"/>
      <c r="C12" s="131"/>
      <c r="D12" s="172"/>
      <c r="E12" s="172"/>
      <c r="F12" s="171"/>
      <c r="G12" s="144"/>
    </row>
    <row r="13" spans="1:7" ht="126.75" customHeight="1">
      <c r="A13" s="48">
        <f>+A7+1</f>
        <v>2</v>
      </c>
      <c r="B13" s="77" t="s">
        <v>72</v>
      </c>
      <c r="C13" s="135"/>
      <c r="D13" s="164"/>
      <c r="E13" s="164"/>
      <c r="F13" s="157"/>
      <c r="G13" s="190"/>
    </row>
    <row r="14" spans="1:7" ht="12.75" customHeight="1">
      <c r="A14" s="48"/>
      <c r="B14" s="72" t="s">
        <v>80</v>
      </c>
      <c r="C14" s="135" t="s">
        <v>17</v>
      </c>
      <c r="D14" s="164">
        <v>1</v>
      </c>
      <c r="E14" s="164">
        <f>+D14</f>
        <v>1</v>
      </c>
      <c r="F14" s="157"/>
      <c r="G14" s="190">
        <f t="shared" ref="G14:G17" si="1">E14*F14</f>
        <v>0</v>
      </c>
    </row>
    <row r="15" spans="1:7" ht="12.75" customHeight="1">
      <c r="A15" s="48"/>
      <c r="B15" s="72" t="s">
        <v>81</v>
      </c>
      <c r="C15" s="135" t="s">
        <v>17</v>
      </c>
      <c r="D15" s="164">
        <v>1</v>
      </c>
      <c r="E15" s="164">
        <f t="shared" ref="E15:E17" si="2">+D15</f>
        <v>1</v>
      </c>
      <c r="F15" s="157"/>
      <c r="G15" s="190">
        <f t="shared" si="1"/>
        <v>0</v>
      </c>
    </row>
    <row r="16" spans="1:7" ht="12.75" customHeight="1">
      <c r="A16" s="48"/>
      <c r="B16" s="72" t="s">
        <v>83</v>
      </c>
      <c r="C16" s="135" t="s">
        <v>17</v>
      </c>
      <c r="D16" s="164">
        <v>1</v>
      </c>
      <c r="E16" s="164">
        <f t="shared" si="2"/>
        <v>1</v>
      </c>
      <c r="F16" s="157"/>
      <c r="G16" s="190">
        <f t="shared" si="1"/>
        <v>0</v>
      </c>
    </row>
    <row r="17" spans="1:7" ht="12.75" customHeight="1">
      <c r="A17" s="48"/>
      <c r="B17" s="72" t="s">
        <v>82</v>
      </c>
      <c r="C17" s="135" t="s">
        <v>17</v>
      </c>
      <c r="D17" s="164">
        <v>1</v>
      </c>
      <c r="E17" s="164">
        <f t="shared" si="2"/>
        <v>1</v>
      </c>
      <c r="F17" s="157"/>
      <c r="G17" s="190">
        <f t="shared" si="1"/>
        <v>0</v>
      </c>
    </row>
    <row r="18" spans="1:7" ht="12.75" customHeight="1">
      <c r="A18" s="48"/>
      <c r="B18" s="20"/>
      <c r="C18" s="131"/>
      <c r="D18" s="155"/>
      <c r="E18" s="171"/>
      <c r="F18" s="171"/>
      <c r="G18" s="144"/>
    </row>
    <row r="19" spans="1:7" ht="153" customHeight="1">
      <c r="A19" s="48">
        <f>+A13+1</f>
        <v>3</v>
      </c>
      <c r="B19" s="71" t="s">
        <v>74</v>
      </c>
      <c r="C19" s="178"/>
      <c r="D19" s="181"/>
      <c r="E19" s="181"/>
      <c r="F19" s="182"/>
      <c r="G19" s="183"/>
    </row>
    <row r="20" spans="1:7" ht="12.75" customHeight="1">
      <c r="A20" s="48"/>
      <c r="B20" s="72" t="s">
        <v>80</v>
      </c>
      <c r="C20" s="178" t="s">
        <v>16</v>
      </c>
      <c r="D20" s="181">
        <v>1</v>
      </c>
      <c r="E20" s="181">
        <f t="shared" ref="E20:E23" si="3">+D20</f>
        <v>1</v>
      </c>
      <c r="F20" s="182"/>
      <c r="G20" s="183">
        <f t="shared" ref="G20:G23" si="4">E20*F20</f>
        <v>0</v>
      </c>
    </row>
    <row r="21" spans="1:7" ht="12.75" customHeight="1">
      <c r="A21" s="48"/>
      <c r="B21" s="72" t="s">
        <v>81</v>
      </c>
      <c r="C21" s="178" t="s">
        <v>16</v>
      </c>
      <c r="D21" s="181">
        <v>1</v>
      </c>
      <c r="E21" s="181">
        <f t="shared" si="3"/>
        <v>1</v>
      </c>
      <c r="F21" s="182"/>
      <c r="G21" s="183">
        <f t="shared" si="4"/>
        <v>0</v>
      </c>
    </row>
    <row r="22" spans="1:7" ht="12.75" customHeight="1">
      <c r="A22" s="48"/>
      <c r="B22" s="72" t="s">
        <v>83</v>
      </c>
      <c r="C22" s="178" t="s">
        <v>16</v>
      </c>
      <c r="D22" s="181">
        <v>1</v>
      </c>
      <c r="E22" s="181">
        <f t="shared" si="3"/>
        <v>1</v>
      </c>
      <c r="F22" s="182"/>
      <c r="G22" s="183">
        <f t="shared" si="4"/>
        <v>0</v>
      </c>
    </row>
    <row r="23" spans="1:7" ht="12.75" customHeight="1">
      <c r="A23" s="48"/>
      <c r="B23" s="72" t="s">
        <v>82</v>
      </c>
      <c r="C23" s="178" t="s">
        <v>16</v>
      </c>
      <c r="D23" s="181">
        <v>1</v>
      </c>
      <c r="E23" s="181">
        <f t="shared" si="3"/>
        <v>1</v>
      </c>
      <c r="F23" s="182"/>
      <c r="G23" s="183">
        <f t="shared" si="4"/>
        <v>0</v>
      </c>
    </row>
    <row r="24" spans="1:7" ht="12.75" customHeight="1">
      <c r="A24" s="48"/>
      <c r="B24" s="49"/>
      <c r="C24" s="131"/>
      <c r="D24" s="170"/>
      <c r="E24" s="171"/>
      <c r="F24" s="171"/>
      <c r="G24" s="144"/>
    </row>
    <row r="25" spans="1:7" ht="165" customHeight="1">
      <c r="A25" s="48">
        <f>+A19+1</f>
        <v>4</v>
      </c>
      <c r="B25" s="71" t="s">
        <v>433</v>
      </c>
      <c r="C25" s="131"/>
      <c r="D25" s="184"/>
      <c r="E25" s="185"/>
      <c r="F25" s="453"/>
      <c r="G25" s="186"/>
    </row>
    <row r="26" spans="1:7" ht="12.75" customHeight="1">
      <c r="A26" s="48"/>
      <c r="B26" s="72" t="s">
        <v>80</v>
      </c>
      <c r="C26" s="131" t="s">
        <v>56</v>
      </c>
      <c r="D26" s="155">
        <v>1</v>
      </c>
      <c r="E26" s="171">
        <f t="shared" ref="E26:E29" si="5">+D26</f>
        <v>1</v>
      </c>
      <c r="F26" s="171"/>
      <c r="G26" s="147">
        <f>E26*F26</f>
        <v>0</v>
      </c>
    </row>
    <row r="27" spans="1:7" ht="12.75" customHeight="1">
      <c r="A27" s="48"/>
      <c r="B27" s="72" t="s">
        <v>81</v>
      </c>
      <c r="C27" s="131" t="s">
        <v>56</v>
      </c>
      <c r="D27" s="155">
        <v>1</v>
      </c>
      <c r="E27" s="171">
        <f t="shared" si="5"/>
        <v>1</v>
      </c>
      <c r="F27" s="171"/>
      <c r="G27" s="147">
        <f t="shared" ref="G27:G29" si="6">E27*F27</f>
        <v>0</v>
      </c>
    </row>
    <row r="28" spans="1:7" ht="12.75" customHeight="1">
      <c r="A28" s="48"/>
      <c r="B28" s="72" t="s">
        <v>83</v>
      </c>
      <c r="C28" s="131" t="s">
        <v>56</v>
      </c>
      <c r="D28" s="155">
        <v>1</v>
      </c>
      <c r="E28" s="171">
        <f t="shared" si="5"/>
        <v>1</v>
      </c>
      <c r="F28" s="171"/>
      <c r="G28" s="147">
        <f t="shared" si="6"/>
        <v>0</v>
      </c>
    </row>
    <row r="29" spans="1:7" ht="12.75" customHeight="1">
      <c r="A29" s="48"/>
      <c r="B29" s="72" t="s">
        <v>82</v>
      </c>
      <c r="C29" s="131" t="s">
        <v>56</v>
      </c>
      <c r="D29" s="155">
        <v>1</v>
      </c>
      <c r="E29" s="171">
        <f t="shared" si="5"/>
        <v>1</v>
      </c>
      <c r="F29" s="171"/>
      <c r="G29" s="147">
        <f t="shared" si="6"/>
        <v>0</v>
      </c>
    </row>
    <row r="30" spans="1:7" ht="102">
      <c r="A30" s="48">
        <f>+A25+1</f>
        <v>5</v>
      </c>
      <c r="B30" s="128" t="s">
        <v>282</v>
      </c>
      <c r="C30" s="210"/>
      <c r="D30" s="161"/>
      <c r="E30" s="161"/>
      <c r="F30" s="213"/>
      <c r="G30" s="189"/>
    </row>
    <row r="31" spans="1:7" ht="12.75" customHeight="1">
      <c r="A31" s="48"/>
      <c r="B31" s="72" t="s">
        <v>80</v>
      </c>
      <c r="C31" s="210" t="s">
        <v>17</v>
      </c>
      <c r="D31" s="130" t="s">
        <v>256</v>
      </c>
      <c r="E31" s="130">
        <f>180*1.5</f>
        <v>270</v>
      </c>
      <c r="F31" s="213"/>
      <c r="G31" s="189">
        <f t="shared" ref="G31:G34" si="7">E31*F31</f>
        <v>0</v>
      </c>
    </row>
    <row r="32" spans="1:7" ht="12.75" customHeight="1">
      <c r="A32" s="48"/>
      <c r="B32" s="72" t="s">
        <v>81</v>
      </c>
      <c r="C32" s="210" t="s">
        <v>17</v>
      </c>
      <c r="D32" s="237">
        <v>0</v>
      </c>
      <c r="E32" s="237">
        <v>0</v>
      </c>
      <c r="F32" s="213"/>
      <c r="G32" s="189">
        <f t="shared" si="7"/>
        <v>0</v>
      </c>
    </row>
    <row r="33" spans="1:7" ht="12.75" customHeight="1">
      <c r="A33" s="48"/>
      <c r="B33" s="72" t="s">
        <v>83</v>
      </c>
      <c r="C33" s="210" t="s">
        <v>17</v>
      </c>
      <c r="D33" s="237">
        <v>0</v>
      </c>
      <c r="E33" s="237">
        <v>0</v>
      </c>
      <c r="F33" s="213"/>
      <c r="G33" s="189">
        <f t="shared" si="7"/>
        <v>0</v>
      </c>
    </row>
    <row r="34" spans="1:7" ht="12.75" customHeight="1">
      <c r="A34" s="48"/>
      <c r="B34" s="72" t="s">
        <v>82</v>
      </c>
      <c r="C34" s="210" t="s">
        <v>17</v>
      </c>
      <c r="D34" s="237">
        <v>0</v>
      </c>
      <c r="E34" s="237">
        <v>0</v>
      </c>
      <c r="F34" s="213"/>
      <c r="G34" s="189">
        <f t="shared" si="7"/>
        <v>0</v>
      </c>
    </row>
    <row r="35" spans="1:7" ht="12.75" customHeight="1">
      <c r="A35" s="48"/>
      <c r="B35" s="52"/>
      <c r="C35" s="134"/>
      <c r="D35" s="130"/>
      <c r="E35" s="175"/>
      <c r="F35" s="173"/>
      <c r="G35" s="147"/>
    </row>
    <row r="36" spans="1:7" ht="12.75" customHeight="1">
      <c r="A36" s="48"/>
      <c r="B36" s="72"/>
      <c r="C36" s="134"/>
      <c r="D36" s="130"/>
      <c r="E36" s="130"/>
      <c r="F36" s="160"/>
      <c r="G36" s="154"/>
    </row>
    <row r="37" spans="1:7" ht="12.75" customHeight="1">
      <c r="A37" s="48"/>
      <c r="B37" s="56" t="s">
        <v>366</v>
      </c>
      <c r="C37" s="137"/>
      <c r="D37" s="164"/>
      <c r="E37" s="164"/>
      <c r="F37" s="165"/>
      <c r="G37" s="147"/>
    </row>
    <row r="38" spans="1:7" ht="12.75" customHeight="1">
      <c r="A38" s="48"/>
      <c r="B38" s="56"/>
      <c r="C38" s="137"/>
      <c r="D38" s="164"/>
      <c r="E38" s="221" t="s">
        <v>80</v>
      </c>
      <c r="F38" s="176"/>
      <c r="G38" s="150">
        <f>+G31+G26+G20+G14+G8</f>
        <v>0</v>
      </c>
    </row>
    <row r="39" spans="1:7" ht="12.75" customHeight="1">
      <c r="A39" s="48"/>
      <c r="B39" s="56"/>
      <c r="C39" s="137"/>
      <c r="D39" s="164"/>
      <c r="E39" s="221" t="s">
        <v>81</v>
      </c>
      <c r="F39" s="176"/>
      <c r="G39" s="150">
        <f>+G32+G27+G21+G15+G9</f>
        <v>0</v>
      </c>
    </row>
    <row r="40" spans="1:7" ht="12.75" customHeight="1">
      <c r="A40" s="48"/>
      <c r="B40" s="56"/>
      <c r="C40" s="137"/>
      <c r="D40" s="164"/>
      <c r="E40" s="221" t="s">
        <v>83</v>
      </c>
      <c r="F40" s="176"/>
      <c r="G40" s="150">
        <f>+G33+G28+G22+G16+G10</f>
        <v>0</v>
      </c>
    </row>
    <row r="41" spans="1:7" ht="12.75" customHeight="1">
      <c r="A41" s="48"/>
      <c r="B41" s="56"/>
      <c r="C41" s="137"/>
      <c r="D41" s="164"/>
      <c r="E41" s="221" t="s">
        <v>82</v>
      </c>
      <c r="F41" s="176"/>
      <c r="G41" s="150">
        <f>+G34+G29+G23+G17+G11</f>
        <v>0</v>
      </c>
    </row>
    <row r="42" spans="1:7" ht="12.75" customHeight="1">
      <c r="A42" s="48"/>
      <c r="B42" s="20"/>
      <c r="C42" s="138"/>
      <c r="D42" s="155"/>
      <c r="E42" s="171"/>
      <c r="F42" s="171"/>
      <c r="G42" s="144"/>
    </row>
    <row r="43" spans="1:7" ht="16.5" thickBot="1">
      <c r="A43" s="22" t="s">
        <v>66</v>
      </c>
      <c r="B43" s="23" t="s">
        <v>65</v>
      </c>
      <c r="C43" s="138"/>
      <c r="D43" s="155"/>
      <c r="E43" s="171"/>
      <c r="F43" s="127" t="s">
        <v>62</v>
      </c>
      <c r="G43" s="127">
        <f>SUM(G38:G41)</f>
        <v>0</v>
      </c>
    </row>
    <row r="44" spans="1:7" ht="12.75" customHeight="1" thickTop="1">
      <c r="A44" s="48"/>
      <c r="B44" s="20"/>
      <c r="C44" s="138"/>
      <c r="D44" s="155"/>
      <c r="E44" s="171"/>
      <c r="F44" s="171"/>
      <c r="G44" s="144"/>
    </row>
    <row r="45" spans="1:7" ht="12.75" customHeight="1">
      <c r="A45" s="48"/>
      <c r="B45" s="20"/>
      <c r="C45" s="138"/>
      <c r="D45" s="155"/>
      <c r="E45" s="171"/>
      <c r="F45" s="171"/>
      <c r="G45" s="144"/>
    </row>
    <row r="46" spans="1:7" ht="12.75" customHeight="1">
      <c r="A46" s="48"/>
      <c r="B46" s="59"/>
      <c r="C46" s="131"/>
      <c r="D46" s="155"/>
      <c r="E46" s="171"/>
      <c r="F46" s="171"/>
      <c r="G46" s="144"/>
    </row>
    <row r="47" spans="1:7" ht="12.75" customHeight="1">
      <c r="A47" s="48"/>
      <c r="B47" s="52"/>
      <c r="C47" s="131"/>
      <c r="D47" s="155"/>
      <c r="E47" s="171"/>
      <c r="F47" s="171"/>
      <c r="G47" s="144"/>
    </row>
    <row r="48" spans="1:7" ht="12.75" customHeight="1">
      <c r="A48" s="48"/>
      <c r="B48" s="52"/>
      <c r="C48" s="131"/>
      <c r="D48" s="155"/>
      <c r="E48" s="171"/>
      <c r="F48" s="171"/>
      <c r="G48" s="144"/>
    </row>
    <row r="49" spans="1:7" ht="12.75" customHeight="1">
      <c r="A49" s="48"/>
      <c r="B49" s="59"/>
      <c r="C49" s="131"/>
      <c r="D49" s="155"/>
      <c r="E49" s="155"/>
      <c r="F49" s="172"/>
      <c r="G49" s="156"/>
    </row>
    <row r="50" spans="1:7" ht="12.75" customHeight="1">
      <c r="A50" s="48"/>
      <c r="B50" s="56"/>
      <c r="C50" s="36"/>
      <c r="D50" s="161"/>
      <c r="E50" s="161"/>
      <c r="F50" s="161"/>
      <c r="G50" s="189"/>
    </row>
    <row r="52" spans="1:7" ht="12.75" customHeight="1">
      <c r="B52" s="69"/>
      <c r="C52" s="134"/>
      <c r="D52" s="130"/>
      <c r="E52" s="130"/>
      <c r="F52" s="160"/>
      <c r="G52" s="154"/>
    </row>
    <row r="54" spans="1:7" ht="12.75" customHeight="1">
      <c r="B54" s="64"/>
      <c r="C54" s="139"/>
      <c r="D54" s="166"/>
      <c r="E54" s="166"/>
      <c r="F54" s="167"/>
      <c r="G54" s="147"/>
    </row>
  </sheetData>
  <conditionalFormatting sqref="F8:F34">
    <cfRule type="cellIs" dxfId="7" priority="1" operator="equal">
      <formula>0</formula>
    </cfRule>
  </conditionalFormatting>
  <pageMargins left="0.78740157480314965" right="0.19685039370078741" top="0.59055118110236227" bottom="0.59055118110236227" header="0" footer="0.19685039370078741"/>
  <pageSetup paperSize="9" orientation="portrait" r:id="rId1"/>
  <headerFooter>
    <oddFooter>Stran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G113"/>
  <sheetViews>
    <sheetView showZeros="0" topLeftCell="A58" workbookViewId="0">
      <selection activeCell="G78" sqref="G78"/>
    </sheetView>
  </sheetViews>
  <sheetFormatPr defaultRowHeight="14.25"/>
  <cols>
    <col min="1" max="1" width="4.42578125" style="97" bestFit="1" customWidth="1"/>
    <col min="2" max="2" width="30.7109375" style="97" customWidth="1"/>
    <col min="3" max="3" width="4.7109375" style="97" customWidth="1"/>
    <col min="4" max="4" width="15.7109375" style="97" customWidth="1"/>
    <col min="5" max="6" width="11.7109375" style="97" customWidth="1"/>
    <col min="7" max="7" width="12.7109375" style="97" customWidth="1"/>
    <col min="8" max="16384" width="9.140625" style="97"/>
  </cols>
  <sheetData>
    <row r="1" spans="1:7" ht="15.75">
      <c r="A1" s="317">
        <v>5.0999999999999996</v>
      </c>
      <c r="B1" s="129" t="s">
        <v>245</v>
      </c>
      <c r="C1" s="44"/>
      <c r="D1" s="45"/>
      <c r="E1" s="46"/>
      <c r="F1" s="46"/>
      <c r="G1" s="47"/>
    </row>
    <row r="2" spans="1:7" ht="12.75" customHeight="1">
      <c r="A2" s="48"/>
      <c r="B2" s="49"/>
      <c r="C2" s="44"/>
      <c r="D2" s="45"/>
      <c r="E2" s="46"/>
      <c r="F2" s="46"/>
      <c r="G2" s="47"/>
    </row>
    <row r="3" spans="1:7" ht="12.75" customHeight="1">
      <c r="A3" s="48" t="s">
        <v>200</v>
      </c>
      <c r="B3" s="259" t="s">
        <v>197</v>
      </c>
      <c r="C3" s="44"/>
      <c r="D3" s="45"/>
      <c r="E3" s="46"/>
      <c r="F3" s="46"/>
      <c r="G3" s="47"/>
    </row>
    <row r="4" spans="1:7" ht="12.75" customHeight="1">
      <c r="A4" s="48"/>
      <c r="B4" s="49"/>
      <c r="C4" s="44"/>
      <c r="D4" s="45"/>
      <c r="E4" s="46"/>
      <c r="F4" s="46"/>
      <c r="G4" s="47"/>
    </row>
    <row r="5" spans="1:7" ht="222" customHeight="1">
      <c r="A5" s="252">
        <v>1</v>
      </c>
      <c r="B5" s="377" t="s">
        <v>171</v>
      </c>
      <c r="C5" s="253" t="s">
        <v>16</v>
      </c>
      <c r="D5" s="254" t="s">
        <v>173</v>
      </c>
      <c r="E5" s="254">
        <f>23.7*((4+8)/2)</f>
        <v>142.19999999999999</v>
      </c>
      <c r="F5" s="378"/>
      <c r="G5" s="255"/>
    </row>
    <row r="6" spans="1:7" ht="12.75" customHeight="1">
      <c r="A6" s="252"/>
      <c r="B6" s="377" t="s">
        <v>172</v>
      </c>
      <c r="C6" s="253"/>
      <c r="D6" s="379"/>
      <c r="E6" s="380"/>
      <c r="F6" s="256"/>
      <c r="G6" s="255"/>
    </row>
    <row r="7" spans="1:7" ht="12.75" customHeight="1">
      <c r="A7" s="252"/>
      <c r="B7" s="377" t="s">
        <v>21</v>
      </c>
      <c r="C7" s="253"/>
      <c r="D7" s="254"/>
      <c r="E7" s="381"/>
      <c r="F7" s="256"/>
      <c r="G7" s="255"/>
    </row>
    <row r="8" spans="1:7" ht="12.75" customHeight="1">
      <c r="A8" s="252"/>
      <c r="B8" s="377" t="s">
        <v>16</v>
      </c>
      <c r="C8" s="253"/>
      <c r="D8" s="254">
        <f>142.2*0.3</f>
        <v>42.66</v>
      </c>
      <c r="E8" s="382"/>
      <c r="F8" s="256"/>
      <c r="G8" s="255">
        <f>D8*F8</f>
        <v>0</v>
      </c>
    </row>
    <row r="9" spans="1:7" ht="12.75" customHeight="1">
      <c r="A9" s="257"/>
      <c r="B9" s="377" t="s">
        <v>174</v>
      </c>
      <c r="D9" s="254"/>
      <c r="G9" s="255"/>
    </row>
    <row r="10" spans="1:7" ht="12.75" customHeight="1">
      <c r="A10" s="257"/>
      <c r="B10" s="377" t="s">
        <v>16</v>
      </c>
      <c r="D10" s="254">
        <f>E5*0.5</f>
        <v>71.099999999999994</v>
      </c>
      <c r="F10" s="256"/>
      <c r="G10" s="255">
        <f>D10*F10</f>
        <v>0</v>
      </c>
    </row>
    <row r="11" spans="1:7" ht="12.75" customHeight="1">
      <c r="A11" s="257"/>
      <c r="B11" s="377" t="s">
        <v>175</v>
      </c>
      <c r="D11" s="254"/>
      <c r="G11" s="255"/>
    </row>
    <row r="12" spans="1:7" ht="12.75" customHeight="1">
      <c r="A12" s="257"/>
      <c r="B12" s="377" t="s">
        <v>16</v>
      </c>
      <c r="D12" s="254">
        <f>E5*0.2</f>
        <v>28.439999999999998</v>
      </c>
      <c r="F12" s="256"/>
      <c r="G12" s="255">
        <f>D12*F12</f>
        <v>0</v>
      </c>
    </row>
    <row r="13" spans="1:7" ht="12.75" customHeight="1">
      <c r="A13" s="257"/>
    </row>
    <row r="14" spans="1:7" ht="51">
      <c r="A14" s="252">
        <v>2</v>
      </c>
      <c r="B14" s="377" t="s">
        <v>23</v>
      </c>
      <c r="C14" s="253" t="s">
        <v>17</v>
      </c>
      <c r="D14" s="378" t="s">
        <v>221</v>
      </c>
      <c r="E14" s="378">
        <f>4*4+2.6*2.6</f>
        <v>22.76</v>
      </c>
      <c r="F14" s="256"/>
      <c r="G14" s="255">
        <f>E14*F14</f>
        <v>0</v>
      </c>
    </row>
    <row r="15" spans="1:7" ht="12.75" customHeight="1">
      <c r="A15" s="257"/>
      <c r="D15" s="383"/>
    </row>
    <row r="16" spans="1:7" ht="76.5">
      <c r="A16" s="252">
        <v>3</v>
      </c>
      <c r="B16" s="258" t="s">
        <v>176</v>
      </c>
      <c r="C16" s="253" t="s">
        <v>16</v>
      </c>
      <c r="D16" s="254" t="s">
        <v>222</v>
      </c>
      <c r="E16" s="254">
        <f>2.8*2.8*0.1+2.6*2.6*0.1</f>
        <v>1.46</v>
      </c>
      <c r="F16" s="256"/>
      <c r="G16" s="255">
        <f>E16*F16</f>
        <v>0</v>
      </c>
    </row>
    <row r="17" spans="1:7" ht="12.75" customHeight="1">
      <c r="A17" s="257"/>
    </row>
    <row r="18" spans="1:7" ht="76.5">
      <c r="A18" s="252">
        <v>4</v>
      </c>
      <c r="B18" s="258" t="s">
        <v>177</v>
      </c>
      <c r="C18" s="253" t="s">
        <v>16</v>
      </c>
      <c r="D18" s="254" t="s">
        <v>178</v>
      </c>
      <c r="E18" s="254">
        <f>0.4*4.53</f>
        <v>1.8120000000000003</v>
      </c>
      <c r="F18" s="256"/>
      <c r="G18" s="255">
        <f>E18*F18</f>
        <v>0</v>
      </c>
    </row>
    <row r="19" spans="1:7" ht="12.75" customHeight="1">
      <c r="A19" s="257"/>
    </row>
    <row r="20" spans="1:7" ht="114.75">
      <c r="A20" s="252">
        <v>5</v>
      </c>
      <c r="B20" s="258" t="s">
        <v>202</v>
      </c>
      <c r="C20" s="253" t="s">
        <v>15</v>
      </c>
      <c r="D20" s="256">
        <v>1</v>
      </c>
      <c r="E20" s="256">
        <v>1</v>
      </c>
      <c r="F20" s="256"/>
      <c r="G20" s="255">
        <f>E20*F20</f>
        <v>0</v>
      </c>
    </row>
    <row r="21" spans="1:7" ht="12.75" customHeight="1">
      <c r="A21" s="252"/>
    </row>
    <row r="22" spans="1:7" ht="51">
      <c r="A22" s="252">
        <v>6</v>
      </c>
      <c r="B22" s="258" t="s">
        <v>226</v>
      </c>
      <c r="C22" s="253" t="s">
        <v>16</v>
      </c>
      <c r="D22" s="254" t="s">
        <v>179</v>
      </c>
      <c r="E22" s="254">
        <f>0.2*4.53</f>
        <v>0.90600000000000014</v>
      </c>
      <c r="F22" s="256"/>
      <c r="G22" s="255">
        <f>E22*F22</f>
        <v>0</v>
      </c>
    </row>
    <row r="23" spans="1:7" ht="12.75" customHeight="1">
      <c r="A23" s="257"/>
    </row>
    <row r="24" spans="1:7" ht="76.5">
      <c r="A24" s="252">
        <v>7</v>
      </c>
      <c r="B24" s="258" t="s">
        <v>180</v>
      </c>
      <c r="C24" s="253" t="s">
        <v>16</v>
      </c>
      <c r="D24" s="254" t="s">
        <v>181</v>
      </c>
      <c r="E24" s="254">
        <f>3*3*0.1</f>
        <v>0.9</v>
      </c>
      <c r="F24" s="256"/>
      <c r="G24" s="255">
        <f>E24*F24</f>
        <v>0</v>
      </c>
    </row>
    <row r="25" spans="1:7" ht="12.75" customHeight="1">
      <c r="A25" s="257"/>
    </row>
    <row r="26" spans="1:7" ht="76.5">
      <c r="A26" s="252">
        <v>8</v>
      </c>
      <c r="B26" s="258" t="s">
        <v>227</v>
      </c>
      <c r="C26" s="253" t="s">
        <v>16</v>
      </c>
      <c r="D26" s="254" t="s">
        <v>182</v>
      </c>
      <c r="E26" s="254">
        <f>3*3*0.2</f>
        <v>1.8</v>
      </c>
      <c r="F26" s="256"/>
      <c r="G26" s="255">
        <f>E26*F26</f>
        <v>0</v>
      </c>
    </row>
    <row r="27" spans="1:7" ht="12.75" customHeight="1">
      <c r="A27" s="252"/>
      <c r="B27" s="258"/>
      <c r="C27" s="253"/>
      <c r="D27" s="254"/>
      <c r="E27" s="254"/>
      <c r="F27" s="256"/>
      <c r="G27" s="255"/>
    </row>
    <row r="28" spans="1:7" s="4" customFormat="1" ht="25.5">
      <c r="A28" s="252">
        <v>9</v>
      </c>
      <c r="B28" s="258" t="s">
        <v>186</v>
      </c>
      <c r="C28" s="253" t="s">
        <v>187</v>
      </c>
      <c r="D28" s="254">
        <f>(E18+E22+E26)*150</f>
        <v>677.7</v>
      </c>
      <c r="E28" s="254">
        <f>D28</f>
        <v>677.7</v>
      </c>
      <c r="F28" s="256"/>
      <c r="G28" s="255">
        <f>E28*F28</f>
        <v>0</v>
      </c>
    </row>
    <row r="29" spans="1:7" s="4" customFormat="1" ht="12.75">
      <c r="A29" s="252"/>
      <c r="B29" s="258"/>
      <c r="C29" s="253"/>
      <c r="D29" s="254"/>
      <c r="E29" s="254"/>
      <c r="F29" s="256"/>
      <c r="G29" s="255"/>
    </row>
    <row r="30" spans="1:7" s="4" customFormat="1" ht="89.25">
      <c r="A30" s="252">
        <v>10</v>
      </c>
      <c r="B30" s="258" t="s">
        <v>223</v>
      </c>
      <c r="C30" s="253" t="s">
        <v>16</v>
      </c>
      <c r="D30" s="254" t="s">
        <v>224</v>
      </c>
      <c r="E30" s="254">
        <f>2.7*1.9*0.1</f>
        <v>0.51300000000000001</v>
      </c>
      <c r="F30" s="256"/>
      <c r="G30" s="255">
        <f>E30*F30</f>
        <v>0</v>
      </c>
    </row>
    <row r="31" spans="1:7" s="4" customFormat="1" ht="12.75" customHeight="1">
      <c r="A31" s="252"/>
      <c r="B31" s="258"/>
      <c r="C31" s="253"/>
      <c r="D31" s="254"/>
      <c r="E31" s="254"/>
      <c r="F31" s="256"/>
      <c r="G31" s="255"/>
    </row>
    <row r="32" spans="1:7" s="4" customFormat="1" ht="76.5">
      <c r="A32" s="252">
        <f>A30+1</f>
        <v>11</v>
      </c>
      <c r="B32" s="258" t="s">
        <v>225</v>
      </c>
      <c r="C32" s="253" t="s">
        <v>16</v>
      </c>
      <c r="D32" s="254" t="s">
        <v>228</v>
      </c>
      <c r="E32" s="254">
        <f>3.45*0.15+(3.45-2.4)*1.1</f>
        <v>1.6725000000000003</v>
      </c>
      <c r="F32" s="256"/>
      <c r="G32" s="255">
        <f>E32*F32</f>
        <v>0</v>
      </c>
    </row>
    <row r="33" spans="1:7" s="4" customFormat="1" ht="12.75">
      <c r="A33" s="252"/>
      <c r="B33" s="258"/>
      <c r="C33" s="253"/>
      <c r="D33" s="254"/>
      <c r="E33" s="254"/>
      <c r="F33" s="256"/>
      <c r="G33" s="255"/>
    </row>
    <row r="34" spans="1:7" s="4" customFormat="1" ht="25.5">
      <c r="A34" s="252">
        <f>A32+1</f>
        <v>12</v>
      </c>
      <c r="B34" s="258" t="s">
        <v>231</v>
      </c>
      <c r="C34" s="253" t="s">
        <v>187</v>
      </c>
      <c r="D34" s="254">
        <f>1.67*160</f>
        <v>267.2</v>
      </c>
      <c r="E34" s="254">
        <f>D34</f>
        <v>267.2</v>
      </c>
      <c r="F34" s="256"/>
      <c r="G34" s="255">
        <f>E34*F34</f>
        <v>0</v>
      </c>
    </row>
    <row r="35" spans="1:7" s="4" customFormat="1" ht="12.75" customHeight="1">
      <c r="A35" s="257"/>
      <c r="B35" s="97"/>
      <c r="C35" s="97"/>
      <c r="D35" s="97"/>
      <c r="E35" s="97"/>
      <c r="F35" s="97"/>
      <c r="G35" s="97"/>
    </row>
    <row r="36" spans="1:7" s="4" customFormat="1" ht="89.25">
      <c r="A36" s="252">
        <f>A34+1</f>
        <v>13</v>
      </c>
      <c r="B36" s="384" t="s">
        <v>229</v>
      </c>
      <c r="C36" s="253" t="s">
        <v>15</v>
      </c>
      <c r="D36" s="385">
        <v>1</v>
      </c>
      <c r="E36" s="385">
        <v>1</v>
      </c>
      <c r="F36" s="256"/>
      <c r="G36" s="255">
        <f>E36*F36</f>
        <v>0</v>
      </c>
    </row>
    <row r="37" spans="1:7" s="4" customFormat="1" ht="12.75">
      <c r="A37" s="252"/>
      <c r="B37" s="384"/>
      <c r="C37" s="253"/>
      <c r="D37" s="385"/>
      <c r="E37" s="385"/>
      <c r="F37" s="256"/>
      <c r="G37" s="255"/>
    </row>
    <row r="38" spans="1:7" s="4" customFormat="1" ht="89.25">
      <c r="A38" s="252">
        <f>A36+1</f>
        <v>14</v>
      </c>
      <c r="B38" s="384" t="s">
        <v>230</v>
      </c>
      <c r="C38" s="253" t="s">
        <v>15</v>
      </c>
      <c r="D38" s="385">
        <v>1</v>
      </c>
      <c r="E38" s="385">
        <v>1</v>
      </c>
      <c r="F38" s="256"/>
      <c r="G38" s="255">
        <f>E38*F38</f>
        <v>0</v>
      </c>
    </row>
    <row r="39" spans="1:7" s="4" customFormat="1" ht="12.75" customHeight="1">
      <c r="A39" s="257"/>
      <c r="B39" s="97"/>
      <c r="C39" s="97"/>
      <c r="D39" s="97"/>
      <c r="E39" s="97"/>
      <c r="F39" s="97"/>
      <c r="G39" s="97"/>
    </row>
    <row r="40" spans="1:7" s="4" customFormat="1" ht="66" customHeight="1">
      <c r="A40" s="252">
        <f>A38+1</f>
        <v>15</v>
      </c>
      <c r="B40" s="258" t="s">
        <v>183</v>
      </c>
      <c r="C40" s="253" t="s">
        <v>16</v>
      </c>
      <c r="D40" s="378">
        <f>E5-2.24</f>
        <v>139.95999999999998</v>
      </c>
      <c r="E40" s="378">
        <f>D40</f>
        <v>139.95999999999998</v>
      </c>
      <c r="F40" s="378"/>
      <c r="G40" s="255">
        <f>E40*F40</f>
        <v>0</v>
      </c>
    </row>
    <row r="41" spans="1:7" s="4" customFormat="1" ht="12.75" customHeight="1">
      <c r="A41" s="257"/>
      <c r="B41" s="97"/>
      <c r="C41" s="97"/>
      <c r="D41" s="97"/>
      <c r="E41" s="97"/>
      <c r="F41" s="97"/>
      <c r="G41" s="97"/>
    </row>
    <row r="42" spans="1:7" s="4" customFormat="1" ht="38.25">
      <c r="A42" s="252">
        <f>A40+1</f>
        <v>16</v>
      </c>
      <c r="B42" s="384" t="s">
        <v>185</v>
      </c>
      <c r="C42" s="253" t="s">
        <v>19</v>
      </c>
      <c r="D42" s="385">
        <v>10</v>
      </c>
      <c r="E42" s="385">
        <v>10</v>
      </c>
      <c r="F42" s="256"/>
      <c r="G42" s="255">
        <f>E42*F42</f>
        <v>0</v>
      </c>
    </row>
    <row r="43" spans="1:7" s="4" customFormat="1" ht="12.75" customHeight="1">
      <c r="A43" s="97"/>
      <c r="B43" s="97"/>
      <c r="C43" s="97"/>
      <c r="D43" s="97"/>
      <c r="E43" s="97"/>
      <c r="F43" s="97">
        <v>0</v>
      </c>
      <c r="G43" s="97"/>
    </row>
    <row r="44" spans="1:7" s="4" customFormat="1" ht="12.75" customHeight="1" thickBot="1">
      <c r="A44" s="48" t="s">
        <v>200</v>
      </c>
      <c r="B44" s="259" t="s">
        <v>197</v>
      </c>
      <c r="C44" s="251"/>
      <c r="D44" s="251"/>
      <c r="E44" s="251"/>
      <c r="F44" s="386" t="s">
        <v>62</v>
      </c>
      <c r="G44" s="387">
        <f>SUM(G7:G42)</f>
        <v>0</v>
      </c>
    </row>
    <row r="45" spans="1:7" s="4" customFormat="1" ht="12.75" customHeight="1" thickTop="1">
      <c r="A45" s="97"/>
      <c r="B45" s="97"/>
      <c r="C45" s="97"/>
      <c r="D45" s="97"/>
      <c r="E45" s="97"/>
      <c r="F45" s="97">
        <v>0</v>
      </c>
      <c r="G45" s="97"/>
    </row>
    <row r="46" spans="1:7" s="4" customFormat="1" ht="12.75" customHeight="1">
      <c r="A46" s="36" t="s">
        <v>201</v>
      </c>
      <c r="B46" s="259" t="s">
        <v>198</v>
      </c>
      <c r="C46" s="97"/>
      <c r="D46" s="97"/>
      <c r="E46" s="97"/>
      <c r="F46" s="97">
        <v>0</v>
      </c>
      <c r="G46" s="97"/>
    </row>
    <row r="47" spans="1:7" s="4" customFormat="1" ht="12.75" customHeight="1">
      <c r="A47" s="97"/>
      <c r="B47" s="97"/>
      <c r="C47" s="97"/>
      <c r="D47" s="97"/>
      <c r="E47" s="97"/>
      <c r="F47" s="97">
        <v>0</v>
      </c>
      <c r="G47" s="97"/>
    </row>
    <row r="48" spans="1:7" s="4" customFormat="1" ht="76.5">
      <c r="A48" s="388">
        <v>1</v>
      </c>
      <c r="B48" s="389" t="s">
        <v>270</v>
      </c>
      <c r="C48" s="390" t="s">
        <v>15</v>
      </c>
      <c r="D48" s="391">
        <v>2</v>
      </c>
      <c r="E48" s="391">
        <v>2</v>
      </c>
      <c r="F48" s="391"/>
      <c r="G48" s="392">
        <f>E48*F48</f>
        <v>0</v>
      </c>
    </row>
    <row r="49" spans="1:7" s="4" customFormat="1" ht="12.75">
      <c r="A49" s="388"/>
      <c r="B49" s="389"/>
      <c r="C49" s="390"/>
      <c r="D49" s="391"/>
      <c r="E49" s="391"/>
      <c r="F49" s="391"/>
      <c r="G49" s="392"/>
    </row>
    <row r="50" spans="1:7" s="4" customFormat="1" ht="25.5">
      <c r="A50" s="388">
        <v>2</v>
      </c>
      <c r="B50" s="389" t="s">
        <v>271</v>
      </c>
      <c r="C50" s="390" t="s">
        <v>15</v>
      </c>
      <c r="D50" s="391">
        <v>1</v>
      </c>
      <c r="E50" s="391">
        <v>1</v>
      </c>
      <c r="F50" s="391"/>
      <c r="G50" s="392">
        <f>E50*F50</f>
        <v>0</v>
      </c>
    </row>
    <row r="51" spans="1:7" s="4" customFormat="1" ht="12.75">
      <c r="A51" s="388"/>
      <c r="B51" s="389"/>
      <c r="C51" s="390"/>
      <c r="D51" s="391"/>
      <c r="E51" s="391"/>
      <c r="F51" s="391"/>
      <c r="G51" s="392"/>
    </row>
    <row r="52" spans="1:7" s="4" customFormat="1" ht="51">
      <c r="A52" s="388">
        <v>3</v>
      </c>
      <c r="B52" s="389" t="s">
        <v>243</v>
      </c>
      <c r="C52" s="390" t="s">
        <v>15</v>
      </c>
      <c r="D52" s="391">
        <v>1</v>
      </c>
      <c r="E52" s="391">
        <v>1</v>
      </c>
      <c r="F52" s="391"/>
      <c r="G52" s="392">
        <f>E52*F52</f>
        <v>0</v>
      </c>
    </row>
    <row r="53" spans="1:7" s="4" customFormat="1" ht="12.75" customHeight="1">
      <c r="A53" s="252"/>
      <c r="B53" s="377"/>
      <c r="C53" s="253"/>
      <c r="D53" s="379"/>
      <c r="E53" s="380"/>
      <c r="F53" s="256"/>
      <c r="G53" s="255"/>
    </row>
    <row r="54" spans="1:7" s="4" customFormat="1" ht="12.75" customHeight="1">
      <c r="A54" s="252">
        <v>4</v>
      </c>
      <c r="B54" s="377" t="s">
        <v>232</v>
      </c>
      <c r="C54" s="253" t="s">
        <v>15</v>
      </c>
      <c r="D54" s="254">
        <v>2</v>
      </c>
      <c r="E54" s="381">
        <v>2</v>
      </c>
      <c r="F54" s="256"/>
      <c r="G54" s="255">
        <f>E54*F54</f>
        <v>0</v>
      </c>
    </row>
    <row r="55" spans="1:7" s="4" customFormat="1" ht="12.75" customHeight="1">
      <c r="A55" s="252"/>
      <c r="B55" s="377"/>
      <c r="C55" s="253"/>
      <c r="D55" s="254"/>
      <c r="E55" s="381"/>
      <c r="F55" s="256"/>
      <c r="G55" s="255"/>
    </row>
    <row r="56" spans="1:7" s="312" customFormat="1" ht="12.75" customHeight="1">
      <c r="A56" s="252">
        <v>5</v>
      </c>
      <c r="B56" s="377" t="s">
        <v>233</v>
      </c>
      <c r="C56" s="253" t="s">
        <v>15</v>
      </c>
      <c r="D56" s="254">
        <v>2</v>
      </c>
      <c r="E56" s="381">
        <v>2</v>
      </c>
      <c r="F56" s="256"/>
      <c r="G56" s="255">
        <f>E56*F56</f>
        <v>0</v>
      </c>
    </row>
    <row r="57" spans="1:7" s="4" customFormat="1" ht="12.75" customHeight="1">
      <c r="A57" s="252"/>
      <c r="B57" s="377"/>
      <c r="C57" s="253"/>
      <c r="D57" s="254"/>
      <c r="E57" s="381"/>
      <c r="F57" s="256"/>
      <c r="G57" s="255"/>
    </row>
    <row r="58" spans="1:7" s="4" customFormat="1" ht="12.75" customHeight="1">
      <c r="A58" s="252">
        <v>6</v>
      </c>
      <c r="B58" s="377" t="s">
        <v>235</v>
      </c>
      <c r="C58" s="253" t="s">
        <v>15</v>
      </c>
      <c r="D58" s="254">
        <v>2</v>
      </c>
      <c r="E58" s="381">
        <v>2</v>
      </c>
      <c r="F58" s="256"/>
      <c r="G58" s="255">
        <f>E58*F58</f>
        <v>0</v>
      </c>
    </row>
    <row r="59" spans="1:7" s="4" customFormat="1" ht="12.75" customHeight="1">
      <c r="A59" s="252"/>
      <c r="B59" s="377"/>
      <c r="C59" s="253"/>
      <c r="D59" s="254"/>
      <c r="E59" s="381"/>
      <c r="F59" s="256"/>
      <c r="G59" s="255"/>
    </row>
    <row r="60" spans="1:7" s="4" customFormat="1" ht="12.75" customHeight="1">
      <c r="A60" s="252">
        <v>7</v>
      </c>
      <c r="B60" s="377" t="s">
        <v>236</v>
      </c>
      <c r="C60" s="253" t="s">
        <v>15</v>
      </c>
      <c r="D60" s="254">
        <v>2</v>
      </c>
      <c r="E60" s="381">
        <v>2</v>
      </c>
      <c r="F60" s="256"/>
      <c r="G60" s="255">
        <f>E60*F60</f>
        <v>0</v>
      </c>
    </row>
    <row r="61" spans="1:7" s="4" customFormat="1" ht="12.75" customHeight="1">
      <c r="A61" s="252"/>
      <c r="B61" s="377"/>
      <c r="C61" s="253"/>
      <c r="D61" s="254"/>
      <c r="E61" s="382"/>
      <c r="F61" s="256"/>
      <c r="G61" s="255"/>
    </row>
    <row r="62" spans="1:7" s="4" customFormat="1" ht="12.75" customHeight="1">
      <c r="A62" s="252">
        <v>8</v>
      </c>
      <c r="B62" s="377" t="s">
        <v>240</v>
      </c>
      <c r="C62" s="253" t="s">
        <v>15</v>
      </c>
      <c r="D62" s="254">
        <v>4</v>
      </c>
      <c r="E62" s="381">
        <v>4</v>
      </c>
      <c r="F62" s="256"/>
      <c r="G62" s="255">
        <f>E62*F62</f>
        <v>0</v>
      </c>
    </row>
    <row r="63" spans="1:7" s="4" customFormat="1" ht="12.75" customHeight="1">
      <c r="A63" s="97"/>
      <c r="B63" s="377"/>
      <c r="C63" s="97"/>
      <c r="D63" s="254"/>
      <c r="E63" s="97"/>
      <c r="F63" s="256"/>
      <c r="G63" s="255"/>
    </row>
    <row r="64" spans="1:7" s="4" customFormat="1" ht="12.75" customHeight="1">
      <c r="A64" s="252">
        <v>9</v>
      </c>
      <c r="B64" s="377" t="s">
        <v>241</v>
      </c>
      <c r="C64" s="253" t="s">
        <v>15</v>
      </c>
      <c r="D64" s="254">
        <v>1</v>
      </c>
      <c r="E64" s="381">
        <v>1</v>
      </c>
      <c r="F64" s="256"/>
      <c r="G64" s="255">
        <f>E64*F64</f>
        <v>0</v>
      </c>
    </row>
    <row r="65" spans="1:7" s="4" customFormat="1" ht="12.75" customHeight="1">
      <c r="A65" s="97"/>
      <c r="B65" s="377"/>
      <c r="C65" s="97"/>
      <c r="D65" s="254"/>
      <c r="E65" s="97"/>
      <c r="F65" s="256"/>
      <c r="G65" s="255"/>
    </row>
    <row r="66" spans="1:7" s="4" customFormat="1" ht="12.75" customHeight="1">
      <c r="A66" s="252">
        <v>10</v>
      </c>
      <c r="B66" s="377" t="s">
        <v>242</v>
      </c>
      <c r="C66" s="253" t="s">
        <v>184</v>
      </c>
      <c r="D66" s="381">
        <v>1</v>
      </c>
      <c r="E66" s="381">
        <v>1</v>
      </c>
      <c r="F66" s="256"/>
      <c r="G66" s="255">
        <f>E66*F66</f>
        <v>0</v>
      </c>
    </row>
    <row r="67" spans="1:7" s="4" customFormat="1" ht="12.75" customHeight="1">
      <c r="A67" s="252"/>
      <c r="B67" s="377"/>
      <c r="C67" s="253"/>
      <c r="D67" s="378"/>
      <c r="E67" s="378"/>
      <c r="F67" s="256"/>
      <c r="G67" s="255"/>
    </row>
    <row r="68" spans="1:7" s="4" customFormat="1" ht="12.75" customHeight="1">
      <c r="A68" s="252">
        <v>11</v>
      </c>
      <c r="B68" s="377" t="s">
        <v>237</v>
      </c>
      <c r="C68" s="253" t="s">
        <v>15</v>
      </c>
      <c r="D68" s="381">
        <v>1</v>
      </c>
      <c r="E68" s="381">
        <v>1</v>
      </c>
      <c r="F68" s="256"/>
      <c r="G68" s="255">
        <f>E68*F68</f>
        <v>0</v>
      </c>
    </row>
    <row r="69" spans="1:7" s="4" customFormat="1" ht="12.75" customHeight="1">
      <c r="A69" s="252"/>
      <c r="B69" s="258"/>
      <c r="C69" s="253"/>
      <c r="D69" s="254"/>
      <c r="E69" s="254"/>
      <c r="F69" s="256"/>
      <c r="G69" s="255"/>
    </row>
    <row r="70" spans="1:7" s="4" customFormat="1" ht="12.75" customHeight="1">
      <c r="A70" s="252">
        <v>12</v>
      </c>
      <c r="B70" s="377" t="s">
        <v>238</v>
      </c>
      <c r="C70" s="253" t="s">
        <v>15</v>
      </c>
      <c r="D70" s="381">
        <v>2</v>
      </c>
      <c r="E70" s="381">
        <v>2</v>
      </c>
      <c r="F70" s="256"/>
      <c r="G70" s="255">
        <f>E70*F70</f>
        <v>0</v>
      </c>
    </row>
    <row r="71" spans="1:7" s="4" customFormat="1" ht="12.75" customHeight="1">
      <c r="A71" s="252"/>
      <c r="B71" s="258"/>
      <c r="C71" s="253"/>
      <c r="D71" s="381"/>
      <c r="E71" s="381"/>
      <c r="F71" s="256"/>
      <c r="G71" s="255"/>
    </row>
    <row r="72" spans="1:7" s="4" customFormat="1" ht="12.75" customHeight="1">
      <c r="A72" s="252">
        <v>13</v>
      </c>
      <c r="B72" s="377" t="s">
        <v>190</v>
      </c>
      <c r="C72" s="253" t="s">
        <v>15</v>
      </c>
      <c r="D72" s="381">
        <v>1</v>
      </c>
      <c r="E72" s="381">
        <v>1</v>
      </c>
      <c r="F72" s="256"/>
      <c r="G72" s="255">
        <f>E72*F72</f>
        <v>0</v>
      </c>
    </row>
    <row r="73" spans="1:7" s="4" customFormat="1" ht="12.75" customHeight="1">
      <c r="A73" s="252"/>
      <c r="B73" s="377"/>
      <c r="C73" s="253"/>
      <c r="D73" s="381"/>
      <c r="E73" s="381"/>
      <c r="F73" s="256"/>
      <c r="G73" s="255"/>
    </row>
    <row r="74" spans="1:7" s="4" customFormat="1" ht="12.75" customHeight="1">
      <c r="A74" s="252">
        <v>14</v>
      </c>
      <c r="B74" s="377" t="s">
        <v>244</v>
      </c>
      <c r="C74" s="253" t="s">
        <v>15</v>
      </c>
      <c r="D74" s="381">
        <v>2</v>
      </c>
      <c r="E74" s="381">
        <v>2</v>
      </c>
      <c r="F74" s="256"/>
      <c r="G74" s="255">
        <f>E74*F73:F74</f>
        <v>0</v>
      </c>
    </row>
    <row r="75" spans="1:7" s="4" customFormat="1" ht="12.75" customHeight="1">
      <c r="A75" s="252"/>
      <c r="B75" s="377"/>
      <c r="C75" s="253"/>
      <c r="D75" s="381"/>
      <c r="E75" s="381"/>
      <c r="F75" s="256"/>
      <c r="G75" s="255"/>
    </row>
    <row r="76" spans="1:7" s="4" customFormat="1" ht="12.75" customHeight="1">
      <c r="A76" s="252">
        <v>15</v>
      </c>
      <c r="B76" s="377" t="s">
        <v>239</v>
      </c>
      <c r="C76" s="253" t="s">
        <v>15</v>
      </c>
      <c r="D76" s="254">
        <v>2</v>
      </c>
      <c r="E76" s="381">
        <v>2</v>
      </c>
      <c r="F76" s="256"/>
      <c r="G76" s="255">
        <f>E76*F76</f>
        <v>0</v>
      </c>
    </row>
    <row r="77" spans="1:7" s="4" customFormat="1" ht="12.75" customHeight="1">
      <c r="A77" s="252"/>
      <c r="B77" s="258"/>
      <c r="C77" s="253"/>
      <c r="D77" s="381"/>
      <c r="E77" s="381"/>
      <c r="F77" s="256"/>
      <c r="G77" s="255"/>
    </row>
    <row r="78" spans="1:7" s="4" customFormat="1" ht="12.75" customHeight="1">
      <c r="A78" s="252">
        <v>16</v>
      </c>
      <c r="B78" s="377" t="s">
        <v>191</v>
      </c>
      <c r="C78" s="253" t="s">
        <v>15</v>
      </c>
      <c r="D78" s="381">
        <v>1</v>
      </c>
      <c r="E78" s="381">
        <v>1</v>
      </c>
      <c r="F78" s="256"/>
      <c r="G78" s="255">
        <f>E78*F78</f>
        <v>0</v>
      </c>
    </row>
    <row r="79" spans="1:7" s="4" customFormat="1" ht="12.75" customHeight="1">
      <c r="A79" s="252"/>
      <c r="B79" s="97"/>
      <c r="C79" s="253"/>
      <c r="D79" s="381"/>
      <c r="E79" s="381"/>
      <c r="F79" s="256"/>
      <c r="G79" s="255"/>
    </row>
    <row r="80" spans="1:7" s="4" customFormat="1" ht="12.75">
      <c r="A80" s="252">
        <v>17</v>
      </c>
      <c r="B80" s="258" t="s">
        <v>192</v>
      </c>
      <c r="C80" s="393">
        <v>0.05</v>
      </c>
      <c r="D80" s="254"/>
      <c r="E80" s="254"/>
      <c r="F80" s="256"/>
      <c r="G80" s="255">
        <f>0.05*SUM(G48:G78)</f>
        <v>0</v>
      </c>
    </row>
    <row r="81" spans="1:7" s="4" customFormat="1" ht="12.75" customHeight="1">
      <c r="A81" s="252"/>
      <c r="B81" s="258"/>
      <c r="C81" s="393"/>
      <c r="D81" s="254"/>
      <c r="E81" s="254"/>
      <c r="F81" s="256"/>
      <c r="G81" s="255"/>
    </row>
    <row r="82" spans="1:7" s="4" customFormat="1" ht="12.75" customHeight="1" thickBot="1">
      <c r="A82" s="36" t="s">
        <v>201</v>
      </c>
      <c r="B82" s="259" t="s">
        <v>198</v>
      </c>
      <c r="C82" s="251"/>
      <c r="D82" s="251"/>
      <c r="E82" s="251"/>
      <c r="F82" s="386" t="s">
        <v>62</v>
      </c>
      <c r="G82" s="387">
        <f>SUM(G48:G80)</f>
        <v>0</v>
      </c>
    </row>
    <row r="83" spans="1:7" s="4" customFormat="1" ht="12.75" customHeight="1" thickTop="1">
      <c r="A83" s="97"/>
      <c r="B83" s="97"/>
      <c r="C83" s="97"/>
      <c r="D83" s="97"/>
      <c r="E83" s="97"/>
      <c r="F83" s="97"/>
      <c r="G83" s="97"/>
    </row>
    <row r="84" spans="1:7" s="4" customFormat="1" ht="12.75" customHeight="1">
      <c r="A84" s="97"/>
      <c r="B84" s="22" t="s">
        <v>199</v>
      </c>
      <c r="C84" s="97"/>
      <c r="D84" s="97"/>
      <c r="E84" s="97"/>
      <c r="F84" s="97"/>
      <c r="G84" s="97"/>
    </row>
    <row r="85" spans="1:7" s="4" customFormat="1" ht="12.75" customHeight="1">
      <c r="A85" s="307" t="s">
        <v>200</v>
      </c>
      <c r="B85" s="260" t="s">
        <v>197</v>
      </c>
      <c r="C85" s="97"/>
      <c r="D85" s="97"/>
      <c r="E85" s="97"/>
      <c r="F85" s="97"/>
      <c r="G85" s="394">
        <f>+G44</f>
        <v>0</v>
      </c>
    </row>
    <row r="86" spans="1:7" s="4" customFormat="1" ht="12.75" customHeight="1">
      <c r="A86" s="36" t="s">
        <v>201</v>
      </c>
      <c r="B86" s="260" t="s">
        <v>198</v>
      </c>
      <c r="C86" s="97"/>
      <c r="D86" s="97"/>
      <c r="E86" s="97"/>
      <c r="F86" s="97"/>
      <c r="G86" s="394">
        <f>+G82</f>
        <v>0</v>
      </c>
    </row>
    <row r="87" spans="1:7" s="4" customFormat="1" ht="12.75" customHeight="1">
      <c r="A87" s="97"/>
      <c r="B87" s="97"/>
      <c r="C87" s="97"/>
      <c r="D87" s="97"/>
      <c r="E87" s="97"/>
      <c r="F87" s="97"/>
      <c r="G87" s="251"/>
    </row>
    <row r="88" spans="1:7" s="4" customFormat="1" ht="16.5" thickBot="1">
      <c r="A88" s="317">
        <v>5.0999999999999996</v>
      </c>
      <c r="B88" s="264" t="s">
        <v>245</v>
      </c>
      <c r="C88" s="310"/>
      <c r="D88" s="311"/>
      <c r="E88" s="264"/>
      <c r="F88" s="265" t="s">
        <v>62</v>
      </c>
      <c r="G88" s="395">
        <f>SUM(G85:G86)</f>
        <v>0</v>
      </c>
    </row>
    <row r="89" spans="1:7" s="4" customFormat="1" ht="12.75" customHeight="1" thickTop="1">
      <c r="A89" s="97"/>
      <c r="B89" s="97"/>
      <c r="C89" s="97"/>
      <c r="D89" s="97"/>
      <c r="E89" s="97"/>
      <c r="F89" s="97"/>
      <c r="G89" s="97"/>
    </row>
    <row r="90" spans="1:7" s="4" customFormat="1" ht="15">
      <c r="A90" s="97"/>
      <c r="B90" s="97"/>
      <c r="C90" s="309"/>
      <c r="D90" s="97"/>
      <c r="E90" s="97"/>
      <c r="F90" s="308"/>
      <c r="G90" s="396"/>
    </row>
    <row r="91" spans="1:7" s="4" customFormat="1" ht="12.75" customHeight="1">
      <c r="A91" s="97"/>
      <c r="B91" s="97"/>
      <c r="C91" s="97"/>
      <c r="D91" s="97"/>
      <c r="E91" s="97"/>
      <c r="F91" s="97"/>
      <c r="G91" s="97"/>
    </row>
    <row r="92" spans="1:7" s="4" customFormat="1" ht="15">
      <c r="E92" s="46"/>
      <c r="F92" s="313"/>
      <c r="G92" s="397"/>
    </row>
    <row r="93" spans="1:7" s="4" customFormat="1" ht="12.75" customHeight="1">
      <c r="A93" s="97"/>
      <c r="B93" s="97"/>
      <c r="C93" s="97"/>
      <c r="D93" s="97"/>
      <c r="E93" s="97"/>
      <c r="F93" s="97"/>
      <c r="G93" s="97"/>
    </row>
    <row r="94" spans="1:7" s="4" customFormat="1" ht="12.75" customHeight="1">
      <c r="A94" s="97"/>
      <c r="B94" s="97"/>
      <c r="C94" s="97"/>
      <c r="D94" s="97"/>
      <c r="E94" s="97"/>
      <c r="F94" s="97"/>
      <c r="G94" s="97"/>
    </row>
    <row r="95" spans="1:7" s="4" customFormat="1" ht="12.75" customHeight="1">
      <c r="A95" s="97"/>
      <c r="B95" s="97"/>
      <c r="C95" s="97"/>
      <c r="D95" s="97"/>
      <c r="E95" s="97"/>
      <c r="F95" s="97"/>
      <c r="G95" s="97"/>
    </row>
    <row r="96" spans="1:7" s="4" customFormat="1" ht="12.75" customHeight="1">
      <c r="A96" s="97"/>
      <c r="B96" s="97"/>
      <c r="C96" s="97"/>
      <c r="D96" s="97"/>
      <c r="E96" s="97"/>
      <c r="F96" s="97"/>
      <c r="G96" s="97"/>
    </row>
    <row r="97" spans="1:7" s="4" customFormat="1" ht="12.75" customHeight="1">
      <c r="A97" s="97"/>
      <c r="B97" s="97"/>
      <c r="C97" s="97"/>
      <c r="D97" s="97"/>
      <c r="E97" s="97"/>
      <c r="F97" s="97"/>
      <c r="G97" s="97"/>
    </row>
    <row r="98" spans="1:7" s="4" customFormat="1" ht="12.75" customHeight="1">
      <c r="A98" s="97"/>
      <c r="B98" s="97"/>
      <c r="C98" s="97"/>
      <c r="D98" s="97"/>
      <c r="E98" s="97"/>
      <c r="F98" s="97"/>
      <c r="G98" s="97"/>
    </row>
    <row r="99" spans="1:7" s="4" customFormat="1" ht="12.75" customHeight="1">
      <c r="A99" s="97"/>
      <c r="B99" s="97"/>
      <c r="C99" s="97"/>
      <c r="D99" s="97"/>
      <c r="E99" s="97"/>
      <c r="F99" s="97"/>
      <c r="G99" s="97"/>
    </row>
    <row r="100" spans="1:7" s="4" customFormat="1" ht="12.75" customHeight="1">
      <c r="A100" s="97"/>
      <c r="B100" s="97"/>
      <c r="C100" s="97"/>
      <c r="D100" s="97"/>
      <c r="E100" s="97"/>
      <c r="F100" s="97"/>
      <c r="G100" s="97"/>
    </row>
    <row r="101" spans="1:7" s="4" customFormat="1" ht="12.75" customHeight="1">
      <c r="A101" s="97"/>
      <c r="B101" s="97"/>
      <c r="C101" s="97"/>
      <c r="D101" s="97"/>
      <c r="E101" s="97"/>
      <c r="F101" s="97"/>
      <c r="G101" s="97"/>
    </row>
    <row r="102" spans="1:7" s="4" customFormat="1" ht="12.75" customHeight="1">
      <c r="A102" s="97"/>
      <c r="B102" s="97"/>
      <c r="C102" s="97"/>
      <c r="D102" s="97"/>
      <c r="E102" s="97"/>
      <c r="F102" s="97"/>
      <c r="G102" s="97"/>
    </row>
    <row r="103" spans="1:7" s="4" customFormat="1" ht="12.75" customHeight="1">
      <c r="A103" s="97"/>
      <c r="B103" s="97"/>
      <c r="C103" s="97"/>
      <c r="D103" s="97"/>
      <c r="E103" s="97"/>
      <c r="F103" s="97"/>
      <c r="G103" s="97"/>
    </row>
    <row r="104" spans="1:7" s="4" customFormat="1" ht="12.75" customHeight="1">
      <c r="A104" s="97"/>
      <c r="B104" s="97"/>
      <c r="C104" s="97"/>
      <c r="D104" s="97"/>
      <c r="E104" s="97"/>
      <c r="F104" s="97"/>
      <c r="G104" s="97"/>
    </row>
    <row r="105" spans="1:7" s="4" customFormat="1" ht="12.75" customHeight="1">
      <c r="A105" s="97"/>
      <c r="B105" s="97"/>
      <c r="C105" s="97"/>
      <c r="D105" s="97"/>
      <c r="E105" s="97"/>
      <c r="F105" s="97"/>
      <c r="G105" s="97"/>
    </row>
    <row r="106" spans="1:7" ht="12.75" customHeight="1"/>
    <row r="107" spans="1:7" ht="12.75" customHeight="1"/>
    <row r="108" spans="1:7" ht="12.75" customHeight="1"/>
    <row r="109" spans="1:7" ht="12.75" customHeight="1"/>
    <row r="110" spans="1:7" ht="12.75" customHeight="1"/>
    <row r="111" spans="1:7" ht="12.75" customHeight="1"/>
    <row r="112" spans="1:7" ht="12.75" customHeight="1"/>
    <row r="113" ht="12.75" customHeight="1"/>
  </sheetData>
  <conditionalFormatting sqref="F8:F78">
    <cfRule type="cellIs" dxfId="6" priority="1" operator="equal">
      <formula>0</formula>
    </cfRule>
  </conditionalFormatting>
  <pageMargins left="0.78740157480314965" right="0.19685039370078741" top="0.59055118110236227" bottom="0.59055118110236227" header="0" footer="0.19685039370078741"/>
  <pageSetup paperSize="9" orientation="portrait" r:id="rId1"/>
  <headerFooter>
    <oddHeader>Stran &amp;P</oddHeader>
    <oddFooter>Stran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G111"/>
  <sheetViews>
    <sheetView showZeros="0" topLeftCell="A54" workbookViewId="0">
      <selection activeCell="J86" sqref="J86"/>
    </sheetView>
  </sheetViews>
  <sheetFormatPr defaultRowHeight="14.25"/>
  <cols>
    <col min="1" max="1" width="4.7109375" style="97" customWidth="1"/>
    <col min="2" max="2" width="30.7109375" style="97" customWidth="1"/>
    <col min="3" max="3" width="4.7109375" style="97" customWidth="1"/>
    <col min="4" max="4" width="15.7109375" style="97" customWidth="1"/>
    <col min="5" max="6" width="11.7109375" style="97" customWidth="1"/>
    <col min="7" max="7" width="12.7109375" style="97" customWidth="1"/>
    <col min="8" max="16384" width="9.140625" style="97"/>
  </cols>
  <sheetData>
    <row r="1" spans="1:7" ht="15.75">
      <c r="A1" s="27">
        <v>5.2</v>
      </c>
      <c r="B1" s="129" t="s">
        <v>246</v>
      </c>
      <c r="C1" s="44"/>
      <c r="D1" s="45"/>
      <c r="E1" s="46"/>
      <c r="F1" s="46"/>
      <c r="G1" s="47"/>
    </row>
    <row r="2" spans="1:7" ht="12.75" customHeight="1">
      <c r="A2" s="48"/>
      <c r="B2" s="49"/>
      <c r="C2" s="44"/>
      <c r="D2" s="45"/>
      <c r="E2" s="46"/>
      <c r="F2" s="46"/>
      <c r="G2" s="47"/>
    </row>
    <row r="3" spans="1:7" ht="12.75" customHeight="1">
      <c r="A3" s="48" t="s">
        <v>200</v>
      </c>
      <c r="B3" s="259" t="s">
        <v>197</v>
      </c>
      <c r="C3" s="44"/>
      <c r="D3" s="45"/>
      <c r="E3" s="46"/>
      <c r="F3" s="46"/>
      <c r="G3" s="47"/>
    </row>
    <row r="4" spans="1:7" ht="12.75" customHeight="1">
      <c r="A4" s="48"/>
      <c r="B4" s="49"/>
      <c r="C4" s="44"/>
      <c r="D4" s="45"/>
      <c r="E4" s="46"/>
      <c r="F4" s="46"/>
      <c r="G4" s="47"/>
    </row>
    <row r="5" spans="1:7" ht="222" customHeight="1">
      <c r="A5" s="252">
        <v>1</v>
      </c>
      <c r="B5" s="377" t="s">
        <v>171</v>
      </c>
      <c r="C5" s="253" t="s">
        <v>16</v>
      </c>
      <c r="D5" s="254" t="s">
        <v>173</v>
      </c>
      <c r="E5" s="254">
        <f>23.7*((4+8)/2)</f>
        <v>142.19999999999999</v>
      </c>
      <c r="F5" s="378"/>
      <c r="G5" s="255"/>
    </row>
    <row r="6" spans="1:7" ht="12.75" customHeight="1">
      <c r="A6" s="252"/>
      <c r="B6" s="377" t="s">
        <v>172</v>
      </c>
      <c r="C6" s="253"/>
      <c r="D6" s="379"/>
      <c r="E6" s="380"/>
      <c r="F6" s="256"/>
      <c r="G6" s="255"/>
    </row>
    <row r="7" spans="1:7" ht="12.75" customHeight="1">
      <c r="A7" s="252"/>
      <c r="B7" s="377" t="s">
        <v>21</v>
      </c>
      <c r="C7" s="253"/>
      <c r="D7" s="254"/>
      <c r="E7" s="381"/>
      <c r="F7" s="256"/>
      <c r="G7" s="255"/>
    </row>
    <row r="8" spans="1:7" ht="12.75" customHeight="1">
      <c r="A8" s="252"/>
      <c r="B8" s="377" t="s">
        <v>16</v>
      </c>
      <c r="C8" s="253"/>
      <c r="D8" s="254">
        <f>142.2*0.3</f>
        <v>42.66</v>
      </c>
      <c r="E8" s="382"/>
      <c r="F8" s="256"/>
      <c r="G8" s="255">
        <f>D8*F8</f>
        <v>0</v>
      </c>
    </row>
    <row r="9" spans="1:7" ht="12.75" customHeight="1">
      <c r="A9" s="257"/>
      <c r="B9" s="377" t="s">
        <v>174</v>
      </c>
      <c r="D9" s="254"/>
      <c r="G9" s="255"/>
    </row>
    <row r="10" spans="1:7" ht="12.75" customHeight="1">
      <c r="A10" s="257"/>
      <c r="B10" s="377" t="s">
        <v>16</v>
      </c>
      <c r="D10" s="254">
        <f>E5*0.5</f>
        <v>71.099999999999994</v>
      </c>
      <c r="F10" s="256"/>
      <c r="G10" s="255">
        <f>D10*F10</f>
        <v>0</v>
      </c>
    </row>
    <row r="11" spans="1:7" ht="12.75" customHeight="1">
      <c r="A11" s="257"/>
      <c r="B11" s="377" t="s">
        <v>175</v>
      </c>
      <c r="D11" s="254"/>
      <c r="G11" s="255"/>
    </row>
    <row r="12" spans="1:7" ht="12.75" customHeight="1">
      <c r="A12" s="257"/>
      <c r="B12" s="377" t="s">
        <v>16</v>
      </c>
      <c r="D12" s="254">
        <f>E5*0.2</f>
        <v>28.439999999999998</v>
      </c>
      <c r="F12" s="256"/>
      <c r="G12" s="255">
        <f>D12*F12</f>
        <v>0</v>
      </c>
    </row>
    <row r="13" spans="1:7" ht="12.75" customHeight="1">
      <c r="A13" s="257"/>
    </row>
    <row r="14" spans="1:7" ht="51">
      <c r="A14" s="252">
        <v>2</v>
      </c>
      <c r="B14" s="377" t="s">
        <v>23</v>
      </c>
      <c r="C14" s="253" t="s">
        <v>17</v>
      </c>
      <c r="D14" s="378" t="s">
        <v>221</v>
      </c>
      <c r="E14" s="378">
        <f>4*4+2.6*2.6</f>
        <v>22.76</v>
      </c>
      <c r="F14" s="256"/>
      <c r="G14" s="255">
        <f>E14*F14</f>
        <v>0</v>
      </c>
    </row>
    <row r="15" spans="1:7" ht="12.75" customHeight="1">
      <c r="A15" s="257"/>
      <c r="D15" s="383"/>
    </row>
    <row r="16" spans="1:7" ht="76.5">
      <c r="A16" s="252">
        <v>3</v>
      </c>
      <c r="B16" s="258" t="s">
        <v>176</v>
      </c>
      <c r="C16" s="253" t="s">
        <v>16</v>
      </c>
      <c r="D16" s="254" t="s">
        <v>222</v>
      </c>
      <c r="E16" s="254">
        <f>2.8*2.8*0.1+2.6*2.6*0.1</f>
        <v>1.46</v>
      </c>
      <c r="F16" s="256"/>
      <c r="G16" s="255">
        <f>E16*F16</f>
        <v>0</v>
      </c>
    </row>
    <row r="17" spans="1:7" ht="12.75" customHeight="1">
      <c r="A17" s="257"/>
    </row>
    <row r="18" spans="1:7" ht="76.5">
      <c r="A18" s="252">
        <v>4</v>
      </c>
      <c r="B18" s="258" t="s">
        <v>177</v>
      </c>
      <c r="C18" s="253" t="s">
        <v>16</v>
      </c>
      <c r="D18" s="254" t="s">
        <v>178</v>
      </c>
      <c r="E18" s="254">
        <f>0.4*4.53</f>
        <v>1.8120000000000003</v>
      </c>
      <c r="F18" s="256"/>
      <c r="G18" s="255">
        <f>E18*F18</f>
        <v>0</v>
      </c>
    </row>
    <row r="19" spans="1:7" ht="12.75" customHeight="1">
      <c r="A19" s="257"/>
    </row>
    <row r="20" spans="1:7" ht="114.75">
      <c r="A20" s="252">
        <v>5</v>
      </c>
      <c r="B20" s="258" t="s">
        <v>202</v>
      </c>
      <c r="C20" s="253" t="s">
        <v>15</v>
      </c>
      <c r="D20" s="256">
        <v>1</v>
      </c>
      <c r="E20" s="256">
        <v>1</v>
      </c>
      <c r="F20" s="256"/>
      <c r="G20" s="255">
        <f>E20*F20</f>
        <v>0</v>
      </c>
    </row>
    <row r="21" spans="1:7" ht="12.75" customHeight="1">
      <c r="A21" s="252"/>
    </row>
    <row r="22" spans="1:7" ht="51">
      <c r="A22" s="252">
        <v>6</v>
      </c>
      <c r="B22" s="258" t="s">
        <v>226</v>
      </c>
      <c r="C22" s="253" t="s">
        <v>16</v>
      </c>
      <c r="D22" s="254" t="s">
        <v>179</v>
      </c>
      <c r="E22" s="254">
        <f>0.2*4.53</f>
        <v>0.90600000000000014</v>
      </c>
      <c r="F22" s="256"/>
      <c r="G22" s="255">
        <f>E22*F22</f>
        <v>0</v>
      </c>
    </row>
    <row r="23" spans="1:7" ht="12.75" customHeight="1">
      <c r="A23" s="257"/>
    </row>
    <row r="24" spans="1:7" ht="76.5">
      <c r="A24" s="252">
        <v>7</v>
      </c>
      <c r="B24" s="258" t="s">
        <v>180</v>
      </c>
      <c r="C24" s="253" t="s">
        <v>16</v>
      </c>
      <c r="D24" s="254" t="s">
        <v>181</v>
      </c>
      <c r="E24" s="254">
        <f>3*3*0.1</f>
        <v>0.9</v>
      </c>
      <c r="F24" s="256"/>
      <c r="G24" s="255">
        <f>E24*F24</f>
        <v>0</v>
      </c>
    </row>
    <row r="25" spans="1:7" ht="12.75" customHeight="1">
      <c r="A25" s="257"/>
    </row>
    <row r="26" spans="1:7" ht="76.5">
      <c r="A26" s="252">
        <v>8</v>
      </c>
      <c r="B26" s="258" t="s">
        <v>227</v>
      </c>
      <c r="C26" s="253" t="s">
        <v>16</v>
      </c>
      <c r="D26" s="254" t="s">
        <v>182</v>
      </c>
      <c r="E26" s="254">
        <f>3*3*0.2</f>
        <v>1.8</v>
      </c>
      <c r="F26" s="256"/>
      <c r="G26" s="255">
        <f>E26*F26</f>
        <v>0</v>
      </c>
    </row>
    <row r="27" spans="1:7" ht="12.75" customHeight="1">
      <c r="A27" s="252"/>
      <c r="B27" s="258"/>
      <c r="C27" s="253"/>
      <c r="D27" s="254"/>
      <c r="E27" s="254"/>
      <c r="F27" s="256"/>
      <c r="G27" s="255"/>
    </row>
    <row r="28" spans="1:7" s="4" customFormat="1" ht="25.5">
      <c r="A28" s="252">
        <v>9</v>
      </c>
      <c r="B28" s="258" t="s">
        <v>186</v>
      </c>
      <c r="C28" s="253" t="s">
        <v>187</v>
      </c>
      <c r="D28" s="254">
        <f>(E18+E22+E26)*150</f>
        <v>677.7</v>
      </c>
      <c r="E28" s="254">
        <f>D28</f>
        <v>677.7</v>
      </c>
      <c r="F28" s="256"/>
      <c r="G28" s="255">
        <f>E28*F28</f>
        <v>0</v>
      </c>
    </row>
    <row r="29" spans="1:7" s="4" customFormat="1" ht="12.75">
      <c r="A29" s="252"/>
      <c r="B29" s="258"/>
      <c r="C29" s="253"/>
      <c r="D29" s="254"/>
      <c r="E29" s="254"/>
      <c r="F29" s="256"/>
      <c r="G29" s="255"/>
    </row>
    <row r="30" spans="1:7" s="4" customFormat="1" ht="89.25">
      <c r="A30" s="252">
        <v>10</v>
      </c>
      <c r="B30" s="258" t="s">
        <v>223</v>
      </c>
      <c r="C30" s="253" t="s">
        <v>16</v>
      </c>
      <c r="D30" s="254" t="s">
        <v>224</v>
      </c>
      <c r="E30" s="254">
        <f>2.7*1.9*0.1</f>
        <v>0.51300000000000001</v>
      </c>
      <c r="F30" s="256"/>
      <c r="G30" s="255">
        <f>E30*F30</f>
        <v>0</v>
      </c>
    </row>
    <row r="31" spans="1:7" s="4" customFormat="1" ht="12.75" customHeight="1">
      <c r="A31" s="252"/>
      <c r="B31" s="258"/>
      <c r="C31" s="253"/>
      <c r="D31" s="254"/>
      <c r="E31" s="254"/>
      <c r="F31" s="256"/>
      <c r="G31" s="255"/>
    </row>
    <row r="32" spans="1:7" s="4" customFormat="1" ht="76.5">
      <c r="A32" s="252">
        <v>10</v>
      </c>
      <c r="B32" s="258" t="s">
        <v>225</v>
      </c>
      <c r="C32" s="253" t="s">
        <v>16</v>
      </c>
      <c r="D32" s="254" t="s">
        <v>228</v>
      </c>
      <c r="E32" s="254">
        <f>3.45*0.15+(3.45-2.4)*1.1</f>
        <v>1.6725000000000003</v>
      </c>
      <c r="F32" s="256"/>
      <c r="G32" s="255">
        <f>E32*F32</f>
        <v>0</v>
      </c>
    </row>
    <row r="33" spans="1:7" s="4" customFormat="1" ht="12.75">
      <c r="A33" s="252"/>
      <c r="B33" s="258"/>
      <c r="C33" s="253"/>
      <c r="D33" s="254"/>
      <c r="E33" s="254"/>
      <c r="F33" s="256"/>
      <c r="G33" s="255"/>
    </row>
    <row r="34" spans="1:7" s="4" customFormat="1" ht="25.5">
      <c r="A34" s="252">
        <v>11</v>
      </c>
      <c r="B34" s="258" t="s">
        <v>231</v>
      </c>
      <c r="C34" s="253" t="s">
        <v>187</v>
      </c>
      <c r="D34" s="254">
        <f>1.67*160</f>
        <v>267.2</v>
      </c>
      <c r="E34" s="254">
        <f>D34</f>
        <v>267.2</v>
      </c>
      <c r="F34" s="256"/>
      <c r="G34" s="255">
        <f>E34*F34</f>
        <v>0</v>
      </c>
    </row>
    <row r="35" spans="1:7" s="4" customFormat="1" ht="12.75" customHeight="1">
      <c r="A35" s="257"/>
      <c r="B35" s="97"/>
      <c r="C35" s="97"/>
      <c r="D35" s="97"/>
      <c r="E35" s="97"/>
      <c r="F35" s="97"/>
      <c r="G35" s="97"/>
    </row>
    <row r="36" spans="1:7" s="4" customFormat="1" ht="89.25">
      <c r="A36" s="252">
        <v>12</v>
      </c>
      <c r="B36" s="384" t="s">
        <v>229</v>
      </c>
      <c r="C36" s="253" t="s">
        <v>15</v>
      </c>
      <c r="D36" s="385">
        <v>1</v>
      </c>
      <c r="E36" s="385">
        <v>1</v>
      </c>
      <c r="F36" s="256"/>
      <c r="G36" s="255">
        <f>E36*F36</f>
        <v>0</v>
      </c>
    </row>
    <row r="37" spans="1:7" s="4" customFormat="1" ht="12.75">
      <c r="A37" s="252"/>
      <c r="B37" s="384"/>
      <c r="C37" s="253"/>
      <c r="D37" s="385"/>
      <c r="E37" s="385"/>
      <c r="F37" s="256"/>
      <c r="G37" s="255"/>
    </row>
    <row r="38" spans="1:7" s="4" customFormat="1" ht="89.25">
      <c r="A38" s="252">
        <v>13</v>
      </c>
      <c r="B38" s="384" t="s">
        <v>230</v>
      </c>
      <c r="C38" s="253" t="s">
        <v>15</v>
      </c>
      <c r="D38" s="385">
        <v>1</v>
      </c>
      <c r="E38" s="385">
        <v>1</v>
      </c>
      <c r="F38" s="256"/>
      <c r="G38" s="255">
        <f>E38*F38</f>
        <v>0</v>
      </c>
    </row>
    <row r="39" spans="1:7" s="4" customFormat="1" ht="12.75" customHeight="1">
      <c r="A39" s="257"/>
      <c r="B39" s="97"/>
      <c r="C39" s="97"/>
      <c r="D39" s="97"/>
      <c r="E39" s="97"/>
      <c r="F39" s="97"/>
      <c r="G39" s="97"/>
    </row>
    <row r="40" spans="1:7" s="4" customFormat="1" ht="66" customHeight="1">
      <c r="A40" s="252">
        <v>14</v>
      </c>
      <c r="B40" s="258" t="s">
        <v>183</v>
      </c>
      <c r="C40" s="253" t="s">
        <v>16</v>
      </c>
      <c r="D40" s="378">
        <f>E5-2.24</f>
        <v>139.95999999999998</v>
      </c>
      <c r="E40" s="378">
        <f>D40</f>
        <v>139.95999999999998</v>
      </c>
      <c r="F40" s="378"/>
      <c r="G40" s="255">
        <f>E40*F40</f>
        <v>0</v>
      </c>
    </row>
    <row r="41" spans="1:7" s="4" customFormat="1" ht="12.75" customHeight="1">
      <c r="A41" s="257"/>
      <c r="B41" s="97"/>
      <c r="C41" s="97"/>
      <c r="D41" s="97"/>
      <c r="E41" s="97"/>
      <c r="F41" s="97"/>
      <c r="G41" s="97"/>
    </row>
    <row r="42" spans="1:7" s="4" customFormat="1" ht="38.25">
      <c r="A42" s="252">
        <v>15</v>
      </c>
      <c r="B42" s="384" t="s">
        <v>185</v>
      </c>
      <c r="C42" s="253" t="s">
        <v>19</v>
      </c>
      <c r="D42" s="385">
        <v>10</v>
      </c>
      <c r="E42" s="385">
        <v>10</v>
      </c>
      <c r="F42" s="256"/>
      <c r="G42" s="255">
        <f>E42*F42</f>
        <v>0</v>
      </c>
    </row>
    <row r="43" spans="1:7" s="4" customFormat="1" ht="12.75" customHeight="1">
      <c r="A43" s="97"/>
      <c r="B43" s="97"/>
      <c r="C43" s="97"/>
      <c r="D43" s="97"/>
      <c r="E43" s="97"/>
      <c r="F43" s="97">
        <v>0</v>
      </c>
      <c r="G43" s="97"/>
    </row>
    <row r="44" spans="1:7" s="4" customFormat="1" ht="12.75" customHeight="1" thickBot="1">
      <c r="A44" s="48" t="s">
        <v>200</v>
      </c>
      <c r="B44" s="259" t="s">
        <v>197</v>
      </c>
      <c r="C44" s="251"/>
      <c r="D44" s="251"/>
      <c r="E44" s="251"/>
      <c r="F44" s="386" t="s">
        <v>62</v>
      </c>
      <c r="G44" s="387">
        <f>SUM(G7:G42)</f>
        <v>0</v>
      </c>
    </row>
    <row r="45" spans="1:7" s="4" customFormat="1" ht="12.75" customHeight="1" thickTop="1">
      <c r="A45" s="97"/>
      <c r="B45" s="97"/>
      <c r="C45" s="97"/>
      <c r="D45" s="97"/>
      <c r="E45" s="97"/>
      <c r="F45" s="97">
        <v>0</v>
      </c>
      <c r="G45" s="97"/>
    </row>
    <row r="46" spans="1:7" s="4" customFormat="1" ht="12.75" customHeight="1">
      <c r="A46" s="36" t="s">
        <v>161</v>
      </c>
      <c r="B46" s="259" t="s">
        <v>198</v>
      </c>
      <c r="C46" s="97"/>
      <c r="D46" s="97"/>
      <c r="E46" s="97"/>
      <c r="F46" s="97">
        <v>0</v>
      </c>
      <c r="G46" s="97"/>
    </row>
    <row r="47" spans="1:7" s="4" customFormat="1" ht="12.75" customHeight="1">
      <c r="A47" s="97"/>
      <c r="B47" s="97"/>
      <c r="C47" s="97"/>
      <c r="D47" s="97"/>
      <c r="E47" s="97"/>
      <c r="F47" s="97">
        <v>0</v>
      </c>
      <c r="G47" s="97"/>
    </row>
    <row r="48" spans="1:7" s="4" customFormat="1" ht="56.25" customHeight="1">
      <c r="A48" s="388">
        <v>1</v>
      </c>
      <c r="B48" s="389" t="s">
        <v>234</v>
      </c>
      <c r="C48" s="390" t="s">
        <v>15</v>
      </c>
      <c r="D48" s="391">
        <v>2</v>
      </c>
      <c r="E48" s="391">
        <v>2</v>
      </c>
      <c r="F48" s="391"/>
      <c r="G48" s="392">
        <f>E48*F48</f>
        <v>0</v>
      </c>
    </row>
    <row r="49" spans="1:7" s="4" customFormat="1" ht="12.75">
      <c r="A49" s="388"/>
      <c r="B49" s="389"/>
      <c r="C49" s="390"/>
      <c r="D49" s="391"/>
      <c r="E49" s="391"/>
      <c r="F49" s="391"/>
      <c r="G49" s="392"/>
    </row>
    <row r="50" spans="1:7" s="4" customFormat="1" ht="51">
      <c r="A50" s="388">
        <v>2</v>
      </c>
      <c r="B50" s="389" t="s">
        <v>243</v>
      </c>
      <c r="C50" s="390" t="s">
        <v>15</v>
      </c>
      <c r="D50" s="391">
        <v>1</v>
      </c>
      <c r="E50" s="391">
        <v>1</v>
      </c>
      <c r="F50" s="391"/>
      <c r="G50" s="392">
        <f>E50*F50</f>
        <v>0</v>
      </c>
    </row>
    <row r="51" spans="1:7" s="4" customFormat="1" ht="12.75" customHeight="1">
      <c r="A51" s="252"/>
      <c r="B51" s="377"/>
      <c r="C51" s="253"/>
      <c r="D51" s="379"/>
      <c r="E51" s="380"/>
      <c r="F51" s="256"/>
      <c r="G51" s="255"/>
    </row>
    <row r="52" spans="1:7" s="4" customFormat="1" ht="12.75" customHeight="1">
      <c r="A52" s="252">
        <v>3</v>
      </c>
      <c r="B52" s="377" t="s">
        <v>188</v>
      </c>
      <c r="C52" s="253" t="s">
        <v>15</v>
      </c>
      <c r="D52" s="254">
        <v>2</v>
      </c>
      <c r="E52" s="381">
        <v>2</v>
      </c>
      <c r="F52" s="256"/>
      <c r="G52" s="255">
        <f>E52*F52</f>
        <v>0</v>
      </c>
    </row>
    <row r="53" spans="1:7" s="4" customFormat="1" ht="12.75" customHeight="1">
      <c r="A53" s="252"/>
      <c r="B53" s="377"/>
      <c r="C53" s="253"/>
      <c r="D53" s="254"/>
      <c r="E53" s="381"/>
      <c r="F53" s="256"/>
      <c r="G53" s="255"/>
    </row>
    <row r="54" spans="1:7" s="312" customFormat="1" ht="12.75" customHeight="1">
      <c r="A54" s="252">
        <v>4</v>
      </c>
      <c r="B54" s="377" t="s">
        <v>189</v>
      </c>
      <c r="C54" s="253" t="s">
        <v>15</v>
      </c>
      <c r="D54" s="254">
        <v>2</v>
      </c>
      <c r="E54" s="381">
        <v>2</v>
      </c>
      <c r="F54" s="256"/>
      <c r="G54" s="255">
        <f>E54*F54</f>
        <v>0</v>
      </c>
    </row>
    <row r="55" spans="1:7" s="4" customFormat="1" ht="12.75" customHeight="1">
      <c r="A55" s="252"/>
      <c r="B55" s="377"/>
      <c r="C55" s="253"/>
      <c r="D55" s="254"/>
      <c r="E55" s="381"/>
      <c r="F55" s="256"/>
      <c r="G55" s="255"/>
    </row>
    <row r="56" spans="1:7" s="4" customFormat="1" ht="12.75" customHeight="1">
      <c r="A56" s="252">
        <v>5</v>
      </c>
      <c r="B56" s="377" t="s">
        <v>235</v>
      </c>
      <c r="C56" s="253" t="s">
        <v>15</v>
      </c>
      <c r="D56" s="254">
        <v>2</v>
      </c>
      <c r="E56" s="381">
        <v>2</v>
      </c>
      <c r="F56" s="256"/>
      <c r="G56" s="255">
        <f>E56*F56</f>
        <v>0</v>
      </c>
    </row>
    <row r="57" spans="1:7" s="4" customFormat="1" ht="12.75" customHeight="1">
      <c r="A57" s="252"/>
      <c r="B57" s="377"/>
      <c r="C57" s="253"/>
      <c r="D57" s="254"/>
      <c r="E57" s="381"/>
      <c r="F57" s="256"/>
      <c r="G57" s="255"/>
    </row>
    <row r="58" spans="1:7" s="4" customFormat="1" ht="12.75" customHeight="1">
      <c r="A58" s="252">
        <v>6</v>
      </c>
      <c r="B58" s="377" t="s">
        <v>236</v>
      </c>
      <c r="C58" s="253" t="s">
        <v>15</v>
      </c>
      <c r="D58" s="254">
        <v>2</v>
      </c>
      <c r="E58" s="381">
        <v>2</v>
      </c>
      <c r="F58" s="256"/>
      <c r="G58" s="255">
        <f>E58*F58</f>
        <v>0</v>
      </c>
    </row>
    <row r="59" spans="1:7" s="4" customFormat="1" ht="12.75" customHeight="1">
      <c r="A59" s="252"/>
      <c r="B59" s="377"/>
      <c r="C59" s="253"/>
      <c r="D59" s="254"/>
      <c r="E59" s="382"/>
      <c r="F59" s="256"/>
      <c r="G59" s="255"/>
    </row>
    <row r="60" spans="1:7" s="4" customFormat="1" ht="12.75" customHeight="1">
      <c r="A60" s="252">
        <v>7</v>
      </c>
      <c r="B60" s="377" t="s">
        <v>241</v>
      </c>
      <c r="C60" s="253" t="s">
        <v>15</v>
      </c>
      <c r="D60" s="254">
        <v>4</v>
      </c>
      <c r="E60" s="381">
        <v>4</v>
      </c>
      <c r="F60" s="256"/>
      <c r="G60" s="255">
        <f>E60*F60</f>
        <v>0</v>
      </c>
    </row>
    <row r="61" spans="1:7" s="4" customFormat="1" ht="12.75" customHeight="1">
      <c r="A61" s="97"/>
      <c r="B61" s="377"/>
      <c r="C61" s="97"/>
      <c r="D61" s="254"/>
      <c r="E61" s="97"/>
      <c r="F61" s="256"/>
      <c r="G61" s="255"/>
    </row>
    <row r="62" spans="1:7" s="4" customFormat="1" ht="12.75" customHeight="1">
      <c r="A62" s="252">
        <v>8</v>
      </c>
      <c r="B62" s="377" t="s">
        <v>241</v>
      </c>
      <c r="C62" s="253" t="s">
        <v>15</v>
      </c>
      <c r="D62" s="254">
        <v>1</v>
      </c>
      <c r="E62" s="381">
        <v>1</v>
      </c>
      <c r="F62" s="256"/>
      <c r="G62" s="255">
        <f>E62*F62</f>
        <v>0</v>
      </c>
    </row>
    <row r="63" spans="1:7" s="4" customFormat="1" ht="12.75" customHeight="1">
      <c r="A63" s="97"/>
      <c r="B63" s="377"/>
      <c r="C63" s="97"/>
      <c r="D63" s="254"/>
      <c r="E63" s="97"/>
      <c r="F63" s="256"/>
      <c r="G63" s="255"/>
    </row>
    <row r="64" spans="1:7" s="4" customFormat="1" ht="12.75" customHeight="1">
      <c r="A64" s="252">
        <v>9</v>
      </c>
      <c r="B64" s="377" t="s">
        <v>242</v>
      </c>
      <c r="C64" s="253" t="s">
        <v>184</v>
      </c>
      <c r="D64" s="381">
        <v>1</v>
      </c>
      <c r="E64" s="381">
        <v>1</v>
      </c>
      <c r="F64" s="256"/>
      <c r="G64" s="255">
        <f>E64*F64</f>
        <v>0</v>
      </c>
    </row>
    <row r="65" spans="1:7" s="4" customFormat="1" ht="12.75" customHeight="1">
      <c r="A65" s="252"/>
      <c r="B65" s="377"/>
      <c r="C65" s="253"/>
      <c r="D65" s="378"/>
      <c r="E65" s="378"/>
      <c r="F65" s="256"/>
      <c r="G65" s="255"/>
    </row>
    <row r="66" spans="1:7" s="4" customFormat="1" ht="12.75" customHeight="1">
      <c r="A66" s="252">
        <v>10</v>
      </c>
      <c r="B66" s="377" t="s">
        <v>237</v>
      </c>
      <c r="C66" s="253" t="s">
        <v>15</v>
      </c>
      <c r="D66" s="381">
        <v>1</v>
      </c>
      <c r="E66" s="381">
        <v>1</v>
      </c>
      <c r="F66" s="256"/>
      <c r="G66" s="255">
        <f>E66*F66</f>
        <v>0</v>
      </c>
    </row>
    <row r="67" spans="1:7" s="4" customFormat="1" ht="12.75" customHeight="1">
      <c r="A67" s="252"/>
      <c r="B67" s="258"/>
      <c r="C67" s="253"/>
      <c r="D67" s="254"/>
      <c r="E67" s="254"/>
      <c r="F67" s="256"/>
      <c r="G67" s="255"/>
    </row>
    <row r="68" spans="1:7" s="4" customFormat="1" ht="12.75" customHeight="1">
      <c r="A68" s="252">
        <v>11</v>
      </c>
      <c r="B68" s="377" t="s">
        <v>190</v>
      </c>
      <c r="C68" s="253" t="s">
        <v>15</v>
      </c>
      <c r="D68" s="381">
        <v>2</v>
      </c>
      <c r="E68" s="381">
        <v>2</v>
      </c>
      <c r="F68" s="256"/>
      <c r="G68" s="255">
        <f>E68*F68</f>
        <v>0</v>
      </c>
    </row>
    <row r="69" spans="1:7" s="4" customFormat="1" ht="12.75" customHeight="1">
      <c r="A69" s="252"/>
      <c r="B69" s="258"/>
      <c r="C69" s="253"/>
      <c r="D69" s="381"/>
      <c r="E69" s="381"/>
      <c r="F69" s="256"/>
      <c r="G69" s="255"/>
    </row>
    <row r="70" spans="1:7" s="4" customFormat="1" ht="12.75" customHeight="1">
      <c r="A70" s="252">
        <v>12</v>
      </c>
      <c r="B70" s="377" t="s">
        <v>190</v>
      </c>
      <c r="C70" s="253" t="s">
        <v>15</v>
      </c>
      <c r="D70" s="381">
        <v>1</v>
      </c>
      <c r="E70" s="381">
        <v>1</v>
      </c>
      <c r="F70" s="256"/>
      <c r="G70" s="255">
        <f>E70*F70</f>
        <v>0</v>
      </c>
    </row>
    <row r="71" spans="1:7" s="4" customFormat="1" ht="12.75" customHeight="1">
      <c r="A71" s="252"/>
      <c r="B71" s="377"/>
      <c r="C71" s="253"/>
      <c r="D71" s="381"/>
      <c r="E71" s="381"/>
      <c r="F71" s="256"/>
      <c r="G71" s="255"/>
    </row>
    <row r="72" spans="1:7" s="4" customFormat="1" ht="12.75" customHeight="1">
      <c r="A72" s="252">
        <v>13</v>
      </c>
      <c r="B72" s="377" t="s">
        <v>244</v>
      </c>
      <c r="C72" s="253" t="s">
        <v>15</v>
      </c>
      <c r="D72" s="381">
        <v>2</v>
      </c>
      <c r="E72" s="381">
        <v>2</v>
      </c>
      <c r="F72" s="256"/>
      <c r="G72" s="255">
        <f>E72*F72</f>
        <v>0</v>
      </c>
    </row>
    <row r="73" spans="1:7" s="4" customFormat="1" ht="12.75" customHeight="1">
      <c r="A73" s="252"/>
      <c r="B73" s="377"/>
      <c r="C73" s="253"/>
      <c r="D73" s="381"/>
      <c r="E73" s="381"/>
      <c r="F73" s="256"/>
      <c r="G73" s="255"/>
    </row>
    <row r="74" spans="1:7" s="4" customFormat="1" ht="12.75" customHeight="1">
      <c r="A74" s="252">
        <v>14</v>
      </c>
      <c r="B74" s="377" t="s">
        <v>247</v>
      </c>
      <c r="C74" s="253" t="s">
        <v>15</v>
      </c>
      <c r="D74" s="254">
        <v>2</v>
      </c>
      <c r="E74" s="381">
        <v>2</v>
      </c>
      <c r="F74" s="256"/>
      <c r="G74" s="255">
        <f>E74*F74</f>
        <v>0</v>
      </c>
    </row>
    <row r="75" spans="1:7" s="4" customFormat="1" ht="12.75" customHeight="1">
      <c r="A75" s="252"/>
      <c r="B75" s="377"/>
      <c r="C75" s="253"/>
      <c r="D75" s="254"/>
      <c r="E75" s="381"/>
      <c r="F75" s="256"/>
      <c r="G75" s="255"/>
    </row>
    <row r="76" spans="1:7" s="4" customFormat="1" ht="12.75" customHeight="1">
      <c r="A76" s="252">
        <v>15</v>
      </c>
      <c r="B76" s="377" t="s">
        <v>191</v>
      </c>
      <c r="C76" s="253" t="s">
        <v>15</v>
      </c>
      <c r="D76" s="381">
        <v>1</v>
      </c>
      <c r="E76" s="381">
        <v>1</v>
      </c>
      <c r="F76" s="256"/>
      <c r="G76" s="255">
        <f>E76*F76</f>
        <v>0</v>
      </c>
    </row>
    <row r="77" spans="1:7" s="4" customFormat="1" ht="12.75" customHeight="1">
      <c r="A77" s="252"/>
      <c r="B77" s="97"/>
      <c r="C77" s="253"/>
      <c r="D77" s="381"/>
      <c r="E77" s="381"/>
      <c r="F77" s="256"/>
      <c r="G77" s="255"/>
    </row>
    <row r="78" spans="1:7" s="4" customFormat="1" ht="12.75">
      <c r="A78" s="252">
        <v>16</v>
      </c>
      <c r="B78" s="258" t="s">
        <v>192</v>
      </c>
      <c r="C78" s="393">
        <v>0.05</v>
      </c>
      <c r="D78" s="254"/>
      <c r="E78" s="254"/>
      <c r="F78" s="256"/>
      <c r="G78" s="255">
        <f>0.05*SUM(G48:G76)</f>
        <v>0</v>
      </c>
    </row>
    <row r="79" spans="1:7" s="4" customFormat="1" ht="12.75" customHeight="1">
      <c r="A79" s="252"/>
      <c r="B79" s="258"/>
      <c r="C79" s="393"/>
      <c r="D79" s="254"/>
      <c r="E79" s="254"/>
      <c r="F79" s="256"/>
      <c r="G79" s="255"/>
    </row>
    <row r="80" spans="1:7" s="4" customFormat="1" ht="12.75" customHeight="1" thickBot="1">
      <c r="A80" s="36" t="s">
        <v>201</v>
      </c>
      <c r="B80" s="259" t="s">
        <v>198</v>
      </c>
      <c r="C80" s="251"/>
      <c r="D80" s="251"/>
      <c r="E80" s="251"/>
      <c r="F80" s="386" t="s">
        <v>62</v>
      </c>
      <c r="G80" s="387">
        <f>SUM(G48:G78)</f>
        <v>0</v>
      </c>
    </row>
    <row r="81" spans="1:7" s="4" customFormat="1" ht="12.75" customHeight="1" thickTop="1">
      <c r="A81" s="97"/>
      <c r="B81" s="97"/>
      <c r="C81" s="97"/>
      <c r="D81" s="97"/>
      <c r="E81" s="97"/>
      <c r="F81" s="97"/>
      <c r="G81" s="97"/>
    </row>
    <row r="82" spans="1:7" s="4" customFormat="1" ht="12.75" customHeight="1">
      <c r="A82" s="97"/>
      <c r="B82" s="22" t="s">
        <v>199</v>
      </c>
      <c r="C82" s="97"/>
      <c r="D82" s="97"/>
      <c r="E82" s="97"/>
      <c r="F82" s="97"/>
      <c r="G82" s="97"/>
    </row>
    <row r="83" spans="1:7" s="4" customFormat="1" ht="12.75" customHeight="1">
      <c r="A83" s="97"/>
      <c r="B83" s="97"/>
      <c r="C83" s="97"/>
      <c r="D83" s="97"/>
      <c r="E83" s="97"/>
      <c r="F83" s="97"/>
      <c r="G83" s="97"/>
    </row>
    <row r="84" spans="1:7" s="4" customFormat="1" ht="12.75" customHeight="1">
      <c r="A84" s="307" t="s">
        <v>200</v>
      </c>
      <c r="B84" s="260" t="s">
        <v>197</v>
      </c>
      <c r="C84" s="97"/>
      <c r="D84" s="97"/>
      <c r="E84" s="97"/>
      <c r="F84" s="97"/>
      <c r="G84" s="394">
        <f>+G44</f>
        <v>0</v>
      </c>
    </row>
    <row r="85" spans="1:7" s="4" customFormat="1" ht="12.75" customHeight="1">
      <c r="A85" s="36" t="s">
        <v>201</v>
      </c>
      <c r="B85" s="260" t="s">
        <v>198</v>
      </c>
      <c r="C85" s="97"/>
      <c r="D85" s="97"/>
      <c r="E85" s="97"/>
      <c r="F85" s="97"/>
      <c r="G85" s="394">
        <f>+G80</f>
        <v>0</v>
      </c>
    </row>
    <row r="86" spans="1:7" s="4" customFormat="1" ht="16.5" thickBot="1">
      <c r="A86" s="317">
        <v>5.2</v>
      </c>
      <c r="B86" s="264" t="s">
        <v>248</v>
      </c>
      <c r="C86" s="264"/>
      <c r="D86" s="264"/>
      <c r="E86" s="264"/>
      <c r="F86" s="265" t="s">
        <v>62</v>
      </c>
      <c r="G86" s="395">
        <f>SUM(G84:G85)</f>
        <v>0</v>
      </c>
    </row>
    <row r="87" spans="1:7" s="4" customFormat="1" ht="12.75" customHeight="1" thickTop="1">
      <c r="A87" s="97"/>
      <c r="B87" s="97"/>
      <c r="C87" s="97"/>
      <c r="D87" s="97"/>
      <c r="E87" s="97"/>
      <c r="F87" s="97"/>
      <c r="G87" s="97"/>
    </row>
    <row r="88" spans="1:7" s="4" customFormat="1" ht="15">
      <c r="A88" s="97"/>
      <c r="B88" s="97"/>
      <c r="C88" s="309"/>
      <c r="D88" s="97"/>
      <c r="E88" s="97"/>
      <c r="F88" s="308"/>
      <c r="G88" s="396"/>
    </row>
    <row r="89" spans="1:7" s="4" customFormat="1" ht="12.75" customHeight="1">
      <c r="A89" s="313"/>
      <c r="B89" s="313"/>
      <c r="C89" s="313"/>
      <c r="D89" s="313"/>
      <c r="E89" s="313"/>
      <c r="F89" s="313"/>
      <c r="G89" s="313"/>
    </row>
    <row r="90" spans="1:7" s="4" customFormat="1" ht="15.75">
      <c r="A90" s="27"/>
      <c r="B90" s="314"/>
      <c r="C90" s="315"/>
      <c r="D90" s="316"/>
      <c r="E90" s="46"/>
      <c r="F90" s="313"/>
      <c r="G90" s="397"/>
    </row>
    <row r="91" spans="1:7" s="4" customFormat="1" ht="12.75" customHeight="1">
      <c r="A91" s="97"/>
      <c r="B91" s="97"/>
      <c r="C91" s="97"/>
      <c r="D91" s="97"/>
      <c r="E91" s="97"/>
      <c r="F91" s="97"/>
      <c r="G91" s="97"/>
    </row>
    <row r="92" spans="1:7" s="4" customFormat="1" ht="12.75" customHeight="1">
      <c r="A92" s="97"/>
      <c r="B92" s="97"/>
      <c r="C92" s="97"/>
      <c r="D92" s="97"/>
      <c r="E92" s="97"/>
      <c r="F92" s="97"/>
      <c r="G92" s="97"/>
    </row>
    <row r="93" spans="1:7" s="4" customFormat="1" ht="12.75" customHeight="1">
      <c r="A93" s="97"/>
      <c r="B93" s="97"/>
      <c r="C93" s="97"/>
      <c r="D93" s="97"/>
      <c r="E93" s="97"/>
      <c r="F93" s="97"/>
      <c r="G93" s="97"/>
    </row>
    <row r="94" spans="1:7" s="4" customFormat="1" ht="12.75" customHeight="1">
      <c r="A94" s="97"/>
      <c r="B94" s="97"/>
      <c r="C94" s="97"/>
      <c r="D94" s="97"/>
      <c r="E94" s="97"/>
      <c r="F94" s="97"/>
      <c r="G94" s="97"/>
    </row>
    <row r="95" spans="1:7" s="4" customFormat="1" ht="12.75" customHeight="1">
      <c r="A95" s="97"/>
      <c r="B95" s="97"/>
      <c r="C95" s="97"/>
      <c r="D95" s="97"/>
      <c r="E95" s="97"/>
      <c r="F95" s="97"/>
      <c r="G95" s="97"/>
    </row>
    <row r="96" spans="1:7" s="4" customFormat="1" ht="12.75" customHeight="1">
      <c r="A96" s="97"/>
      <c r="B96" s="97"/>
      <c r="C96" s="97"/>
      <c r="D96" s="97"/>
      <c r="E96" s="97"/>
      <c r="F96" s="97"/>
      <c r="G96" s="97"/>
    </row>
    <row r="97" spans="1:7" s="4" customFormat="1" ht="12.75" customHeight="1">
      <c r="A97" s="97"/>
      <c r="B97" s="97"/>
      <c r="C97" s="97"/>
      <c r="D97" s="97"/>
      <c r="E97" s="97"/>
      <c r="F97" s="97"/>
      <c r="G97" s="97"/>
    </row>
    <row r="98" spans="1:7" s="4" customFormat="1" ht="12.75" customHeight="1">
      <c r="A98" s="97"/>
      <c r="B98" s="97"/>
      <c r="C98" s="97"/>
      <c r="D98" s="97"/>
      <c r="E98" s="97"/>
      <c r="F98" s="97"/>
      <c r="G98" s="97"/>
    </row>
    <row r="99" spans="1:7" s="4" customFormat="1" ht="12.75" customHeight="1">
      <c r="A99" s="97"/>
      <c r="B99" s="97"/>
      <c r="C99" s="97"/>
      <c r="D99" s="97"/>
      <c r="E99" s="97"/>
      <c r="F99" s="97"/>
      <c r="G99" s="97"/>
    </row>
    <row r="100" spans="1:7" s="4" customFormat="1" ht="12.75" customHeight="1">
      <c r="A100" s="97"/>
      <c r="B100" s="97"/>
      <c r="C100" s="97"/>
      <c r="D100" s="97"/>
      <c r="E100" s="97"/>
      <c r="F100" s="97"/>
      <c r="G100" s="97"/>
    </row>
    <row r="101" spans="1:7" s="4" customFormat="1" ht="12.75" customHeight="1">
      <c r="A101" s="97"/>
      <c r="B101" s="97"/>
      <c r="C101" s="97"/>
      <c r="D101" s="97"/>
      <c r="E101" s="97"/>
      <c r="F101" s="97"/>
      <c r="G101" s="97"/>
    </row>
    <row r="102" spans="1:7" s="4" customFormat="1" ht="12.75" customHeight="1">
      <c r="A102" s="97"/>
      <c r="B102" s="97"/>
      <c r="C102" s="97"/>
      <c r="D102" s="97"/>
      <c r="E102" s="97"/>
      <c r="F102" s="97"/>
      <c r="G102" s="97"/>
    </row>
    <row r="103" spans="1:7" s="4" customFormat="1" ht="12.75" customHeight="1">
      <c r="A103" s="97"/>
      <c r="B103" s="97"/>
      <c r="C103" s="97"/>
      <c r="D103" s="97"/>
      <c r="E103" s="97"/>
      <c r="F103" s="97"/>
      <c r="G103" s="97"/>
    </row>
    <row r="104" spans="1:7" ht="12.75" customHeight="1"/>
    <row r="105" spans="1:7" ht="12.75" customHeight="1"/>
    <row r="106" spans="1:7" ht="12.75" customHeight="1"/>
    <row r="107" spans="1:7" ht="12.75" customHeight="1"/>
    <row r="108" spans="1:7" ht="12.75" customHeight="1"/>
    <row r="109" spans="1:7" ht="12.75" customHeight="1"/>
    <row r="110" spans="1:7" ht="12.75" customHeight="1"/>
    <row r="111" spans="1:7" ht="12.75" customHeight="1"/>
  </sheetData>
  <conditionalFormatting sqref="F8:F76">
    <cfRule type="cellIs" dxfId="5" priority="1" operator="equal">
      <formula>0</formula>
    </cfRule>
  </conditionalFormatting>
  <pageMargins left="0.78740157480314965" right="0.19685039370078741" top="0.59055118110236227" bottom="0.59055118110236227" header="0" footer="0.19685039370078741"/>
  <pageSetup paperSize="9" orientation="portrait" r:id="rId1"/>
  <headerFooter>
    <oddHeader>Stran &amp;P</oddHeader>
    <oddFooter>Stran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G292"/>
  <sheetViews>
    <sheetView showZeros="0" topLeftCell="A39" zoomScale="90" zoomScaleNormal="90" workbookViewId="0">
      <selection activeCell="G31" sqref="G31"/>
    </sheetView>
  </sheetViews>
  <sheetFormatPr defaultRowHeight="12.75"/>
  <cols>
    <col min="1" max="1" width="4.7109375" style="4" customWidth="1"/>
    <col min="2" max="2" width="30.7109375" style="4" customWidth="1"/>
    <col min="3" max="3" width="4.7109375" style="112" customWidth="1"/>
    <col min="4" max="4" width="13.7109375" style="269" customWidth="1"/>
    <col min="5" max="7" width="12.7109375" style="269" customWidth="1"/>
    <col min="8" max="247" width="9.140625" style="263"/>
    <col min="248" max="248" width="4.7109375" style="263" customWidth="1"/>
    <col min="249" max="249" width="30.7109375" style="263" customWidth="1"/>
    <col min="250" max="250" width="4.7109375" style="263" customWidth="1"/>
    <col min="251" max="251" width="13.7109375" style="263" customWidth="1"/>
    <col min="252" max="254" width="12.7109375" style="263" customWidth="1"/>
    <col min="255" max="255" width="9.140625" style="263"/>
    <col min="256" max="256" width="21" style="263" customWidth="1"/>
    <col min="257" max="257" width="36.5703125" style="263" customWidth="1"/>
    <col min="258" max="503" width="9.140625" style="263"/>
    <col min="504" max="504" width="4.7109375" style="263" customWidth="1"/>
    <col min="505" max="505" width="30.7109375" style="263" customWidth="1"/>
    <col min="506" max="506" width="4.7109375" style="263" customWidth="1"/>
    <col min="507" max="507" width="13.7109375" style="263" customWidth="1"/>
    <col min="508" max="510" width="12.7109375" style="263" customWidth="1"/>
    <col min="511" max="511" width="9.140625" style="263"/>
    <col min="512" max="512" width="21" style="263" customWidth="1"/>
    <col min="513" max="513" width="36.5703125" style="263" customWidth="1"/>
    <col min="514" max="759" width="9.140625" style="263"/>
    <col min="760" max="760" width="4.7109375" style="263" customWidth="1"/>
    <col min="761" max="761" width="30.7109375" style="263" customWidth="1"/>
    <col min="762" max="762" width="4.7109375" style="263" customWidth="1"/>
    <col min="763" max="763" width="13.7109375" style="263" customWidth="1"/>
    <col min="764" max="766" width="12.7109375" style="263" customWidth="1"/>
    <col min="767" max="767" width="9.140625" style="263"/>
    <col min="768" max="768" width="21" style="263" customWidth="1"/>
    <col min="769" max="769" width="36.5703125" style="263" customWidth="1"/>
    <col min="770" max="1015" width="9.140625" style="263"/>
    <col min="1016" max="1016" width="4.7109375" style="263" customWidth="1"/>
    <col min="1017" max="1017" width="30.7109375" style="263" customWidth="1"/>
    <col min="1018" max="1018" width="4.7109375" style="263" customWidth="1"/>
    <col min="1019" max="1019" width="13.7109375" style="263" customWidth="1"/>
    <col min="1020" max="1022" width="12.7109375" style="263" customWidth="1"/>
    <col min="1023" max="1023" width="9.140625" style="263"/>
    <col min="1024" max="1024" width="21" style="263" customWidth="1"/>
    <col min="1025" max="1025" width="36.5703125" style="263" customWidth="1"/>
    <col min="1026" max="1271" width="9.140625" style="263"/>
    <col min="1272" max="1272" width="4.7109375" style="263" customWidth="1"/>
    <col min="1273" max="1273" width="30.7109375" style="263" customWidth="1"/>
    <col min="1274" max="1274" width="4.7109375" style="263" customWidth="1"/>
    <col min="1275" max="1275" width="13.7109375" style="263" customWidth="1"/>
    <col min="1276" max="1278" width="12.7109375" style="263" customWidth="1"/>
    <col min="1279" max="1279" width="9.140625" style="263"/>
    <col min="1280" max="1280" width="21" style="263" customWidth="1"/>
    <col min="1281" max="1281" width="36.5703125" style="263" customWidth="1"/>
    <col min="1282" max="1527" width="9.140625" style="263"/>
    <col min="1528" max="1528" width="4.7109375" style="263" customWidth="1"/>
    <col min="1529" max="1529" width="30.7109375" style="263" customWidth="1"/>
    <col min="1530" max="1530" width="4.7109375" style="263" customWidth="1"/>
    <col min="1531" max="1531" width="13.7109375" style="263" customWidth="1"/>
    <col min="1532" max="1534" width="12.7109375" style="263" customWidth="1"/>
    <col min="1535" max="1535" width="9.140625" style="263"/>
    <col min="1536" max="1536" width="21" style="263" customWidth="1"/>
    <col min="1537" max="1537" width="36.5703125" style="263" customWidth="1"/>
    <col min="1538" max="1783" width="9.140625" style="263"/>
    <col min="1784" max="1784" width="4.7109375" style="263" customWidth="1"/>
    <col min="1785" max="1785" width="30.7109375" style="263" customWidth="1"/>
    <col min="1786" max="1786" width="4.7109375" style="263" customWidth="1"/>
    <col min="1787" max="1787" width="13.7109375" style="263" customWidth="1"/>
    <col min="1788" max="1790" width="12.7109375" style="263" customWidth="1"/>
    <col min="1791" max="1791" width="9.140625" style="263"/>
    <col min="1792" max="1792" width="21" style="263" customWidth="1"/>
    <col min="1793" max="1793" width="36.5703125" style="263" customWidth="1"/>
    <col min="1794" max="2039" width="9.140625" style="263"/>
    <col min="2040" max="2040" width="4.7109375" style="263" customWidth="1"/>
    <col min="2041" max="2041" width="30.7109375" style="263" customWidth="1"/>
    <col min="2042" max="2042" width="4.7109375" style="263" customWidth="1"/>
    <col min="2043" max="2043" width="13.7109375" style="263" customWidth="1"/>
    <col min="2044" max="2046" width="12.7109375" style="263" customWidth="1"/>
    <col min="2047" max="2047" width="9.140625" style="263"/>
    <col min="2048" max="2048" width="21" style="263" customWidth="1"/>
    <col min="2049" max="2049" width="36.5703125" style="263" customWidth="1"/>
    <col min="2050" max="2295" width="9.140625" style="263"/>
    <col min="2296" max="2296" width="4.7109375" style="263" customWidth="1"/>
    <col min="2297" max="2297" width="30.7109375" style="263" customWidth="1"/>
    <col min="2298" max="2298" width="4.7109375" style="263" customWidth="1"/>
    <col min="2299" max="2299" width="13.7109375" style="263" customWidth="1"/>
    <col min="2300" max="2302" width="12.7109375" style="263" customWidth="1"/>
    <col min="2303" max="2303" width="9.140625" style="263"/>
    <col min="2304" max="2304" width="21" style="263" customWidth="1"/>
    <col min="2305" max="2305" width="36.5703125" style="263" customWidth="1"/>
    <col min="2306" max="2551" width="9.140625" style="263"/>
    <col min="2552" max="2552" width="4.7109375" style="263" customWidth="1"/>
    <col min="2553" max="2553" width="30.7109375" style="263" customWidth="1"/>
    <col min="2554" max="2554" width="4.7109375" style="263" customWidth="1"/>
    <col min="2555" max="2555" width="13.7109375" style="263" customWidth="1"/>
    <col min="2556" max="2558" width="12.7109375" style="263" customWidth="1"/>
    <col min="2559" max="2559" width="9.140625" style="263"/>
    <col min="2560" max="2560" width="21" style="263" customWidth="1"/>
    <col min="2561" max="2561" width="36.5703125" style="263" customWidth="1"/>
    <col min="2562" max="2807" width="9.140625" style="263"/>
    <col min="2808" max="2808" width="4.7109375" style="263" customWidth="1"/>
    <col min="2809" max="2809" width="30.7109375" style="263" customWidth="1"/>
    <col min="2810" max="2810" width="4.7109375" style="263" customWidth="1"/>
    <col min="2811" max="2811" width="13.7109375" style="263" customWidth="1"/>
    <col min="2812" max="2814" width="12.7109375" style="263" customWidth="1"/>
    <col min="2815" max="2815" width="9.140625" style="263"/>
    <col min="2816" max="2816" width="21" style="263" customWidth="1"/>
    <col min="2817" max="2817" width="36.5703125" style="263" customWidth="1"/>
    <col min="2818" max="3063" width="9.140625" style="263"/>
    <col min="3064" max="3064" width="4.7109375" style="263" customWidth="1"/>
    <col min="3065" max="3065" width="30.7109375" style="263" customWidth="1"/>
    <col min="3066" max="3066" width="4.7109375" style="263" customWidth="1"/>
    <col min="3067" max="3067" width="13.7109375" style="263" customWidth="1"/>
    <col min="3068" max="3070" width="12.7109375" style="263" customWidth="1"/>
    <col min="3071" max="3071" width="9.140625" style="263"/>
    <col min="3072" max="3072" width="21" style="263" customWidth="1"/>
    <col min="3073" max="3073" width="36.5703125" style="263" customWidth="1"/>
    <col min="3074" max="3319" width="9.140625" style="263"/>
    <col min="3320" max="3320" width="4.7109375" style="263" customWidth="1"/>
    <col min="3321" max="3321" width="30.7109375" style="263" customWidth="1"/>
    <col min="3322" max="3322" width="4.7109375" style="263" customWidth="1"/>
    <col min="3323" max="3323" width="13.7109375" style="263" customWidth="1"/>
    <col min="3324" max="3326" width="12.7109375" style="263" customWidth="1"/>
    <col min="3327" max="3327" width="9.140625" style="263"/>
    <col min="3328" max="3328" width="21" style="263" customWidth="1"/>
    <col min="3329" max="3329" width="36.5703125" style="263" customWidth="1"/>
    <col min="3330" max="3575" width="9.140625" style="263"/>
    <col min="3576" max="3576" width="4.7109375" style="263" customWidth="1"/>
    <col min="3577" max="3577" width="30.7109375" style="263" customWidth="1"/>
    <col min="3578" max="3578" width="4.7109375" style="263" customWidth="1"/>
    <col min="3579" max="3579" width="13.7109375" style="263" customWidth="1"/>
    <col min="3580" max="3582" width="12.7109375" style="263" customWidth="1"/>
    <col min="3583" max="3583" width="9.140625" style="263"/>
    <col min="3584" max="3584" width="21" style="263" customWidth="1"/>
    <col min="3585" max="3585" width="36.5703125" style="263" customWidth="1"/>
    <col min="3586" max="3831" width="9.140625" style="263"/>
    <col min="3832" max="3832" width="4.7109375" style="263" customWidth="1"/>
    <col min="3833" max="3833" width="30.7109375" style="263" customWidth="1"/>
    <col min="3834" max="3834" width="4.7109375" style="263" customWidth="1"/>
    <col min="3835" max="3835" width="13.7109375" style="263" customWidth="1"/>
    <col min="3836" max="3838" width="12.7109375" style="263" customWidth="1"/>
    <col min="3839" max="3839" width="9.140625" style="263"/>
    <col min="3840" max="3840" width="21" style="263" customWidth="1"/>
    <col min="3841" max="3841" width="36.5703125" style="263" customWidth="1"/>
    <col min="3842" max="4087" width="9.140625" style="263"/>
    <col min="4088" max="4088" width="4.7109375" style="263" customWidth="1"/>
    <col min="4089" max="4089" width="30.7109375" style="263" customWidth="1"/>
    <col min="4090" max="4090" width="4.7109375" style="263" customWidth="1"/>
    <col min="4091" max="4091" width="13.7109375" style="263" customWidth="1"/>
    <col min="4092" max="4094" width="12.7109375" style="263" customWidth="1"/>
    <col min="4095" max="4095" width="9.140625" style="263"/>
    <col min="4096" max="4096" width="21" style="263" customWidth="1"/>
    <col min="4097" max="4097" width="36.5703125" style="263" customWidth="1"/>
    <col min="4098" max="4343" width="9.140625" style="263"/>
    <col min="4344" max="4344" width="4.7109375" style="263" customWidth="1"/>
    <col min="4345" max="4345" width="30.7109375" style="263" customWidth="1"/>
    <col min="4346" max="4346" width="4.7109375" style="263" customWidth="1"/>
    <col min="4347" max="4347" width="13.7109375" style="263" customWidth="1"/>
    <col min="4348" max="4350" width="12.7109375" style="263" customWidth="1"/>
    <col min="4351" max="4351" width="9.140625" style="263"/>
    <col min="4352" max="4352" width="21" style="263" customWidth="1"/>
    <col min="4353" max="4353" width="36.5703125" style="263" customWidth="1"/>
    <col min="4354" max="4599" width="9.140625" style="263"/>
    <col min="4600" max="4600" width="4.7109375" style="263" customWidth="1"/>
    <col min="4601" max="4601" width="30.7109375" style="263" customWidth="1"/>
    <col min="4602" max="4602" width="4.7109375" style="263" customWidth="1"/>
    <col min="4603" max="4603" width="13.7109375" style="263" customWidth="1"/>
    <col min="4604" max="4606" width="12.7109375" style="263" customWidth="1"/>
    <col min="4607" max="4607" width="9.140625" style="263"/>
    <col min="4608" max="4608" width="21" style="263" customWidth="1"/>
    <col min="4609" max="4609" width="36.5703125" style="263" customWidth="1"/>
    <col min="4610" max="4855" width="9.140625" style="263"/>
    <col min="4856" max="4856" width="4.7109375" style="263" customWidth="1"/>
    <col min="4857" max="4857" width="30.7109375" style="263" customWidth="1"/>
    <col min="4858" max="4858" width="4.7109375" style="263" customWidth="1"/>
    <col min="4859" max="4859" width="13.7109375" style="263" customWidth="1"/>
    <col min="4860" max="4862" width="12.7109375" style="263" customWidth="1"/>
    <col min="4863" max="4863" width="9.140625" style="263"/>
    <col min="4864" max="4864" width="21" style="263" customWidth="1"/>
    <col min="4865" max="4865" width="36.5703125" style="263" customWidth="1"/>
    <col min="4866" max="5111" width="9.140625" style="263"/>
    <col min="5112" max="5112" width="4.7109375" style="263" customWidth="1"/>
    <col min="5113" max="5113" width="30.7109375" style="263" customWidth="1"/>
    <col min="5114" max="5114" width="4.7109375" style="263" customWidth="1"/>
    <col min="5115" max="5115" width="13.7109375" style="263" customWidth="1"/>
    <col min="5116" max="5118" width="12.7109375" style="263" customWidth="1"/>
    <col min="5119" max="5119" width="9.140625" style="263"/>
    <col min="5120" max="5120" width="21" style="263" customWidth="1"/>
    <col min="5121" max="5121" width="36.5703125" style="263" customWidth="1"/>
    <col min="5122" max="5367" width="9.140625" style="263"/>
    <col min="5368" max="5368" width="4.7109375" style="263" customWidth="1"/>
    <col min="5369" max="5369" width="30.7109375" style="263" customWidth="1"/>
    <col min="5370" max="5370" width="4.7109375" style="263" customWidth="1"/>
    <col min="5371" max="5371" width="13.7109375" style="263" customWidth="1"/>
    <col min="5372" max="5374" width="12.7109375" style="263" customWidth="1"/>
    <col min="5375" max="5375" width="9.140625" style="263"/>
    <col min="5376" max="5376" width="21" style="263" customWidth="1"/>
    <col min="5377" max="5377" width="36.5703125" style="263" customWidth="1"/>
    <col min="5378" max="5623" width="9.140625" style="263"/>
    <col min="5624" max="5624" width="4.7109375" style="263" customWidth="1"/>
    <col min="5625" max="5625" width="30.7109375" style="263" customWidth="1"/>
    <col min="5626" max="5626" width="4.7109375" style="263" customWidth="1"/>
    <col min="5627" max="5627" width="13.7109375" style="263" customWidth="1"/>
    <col min="5628" max="5630" width="12.7109375" style="263" customWidth="1"/>
    <col min="5631" max="5631" width="9.140625" style="263"/>
    <col min="5632" max="5632" width="21" style="263" customWidth="1"/>
    <col min="5633" max="5633" width="36.5703125" style="263" customWidth="1"/>
    <col min="5634" max="5879" width="9.140625" style="263"/>
    <col min="5880" max="5880" width="4.7109375" style="263" customWidth="1"/>
    <col min="5881" max="5881" width="30.7109375" style="263" customWidth="1"/>
    <col min="5882" max="5882" width="4.7109375" style="263" customWidth="1"/>
    <col min="5883" max="5883" width="13.7109375" style="263" customWidth="1"/>
    <col min="5884" max="5886" width="12.7109375" style="263" customWidth="1"/>
    <col min="5887" max="5887" width="9.140625" style="263"/>
    <col min="5888" max="5888" width="21" style="263" customWidth="1"/>
    <col min="5889" max="5889" width="36.5703125" style="263" customWidth="1"/>
    <col min="5890" max="6135" width="9.140625" style="263"/>
    <col min="6136" max="6136" width="4.7109375" style="263" customWidth="1"/>
    <col min="6137" max="6137" width="30.7109375" style="263" customWidth="1"/>
    <col min="6138" max="6138" width="4.7109375" style="263" customWidth="1"/>
    <col min="6139" max="6139" width="13.7109375" style="263" customWidth="1"/>
    <col min="6140" max="6142" width="12.7109375" style="263" customWidth="1"/>
    <col min="6143" max="6143" width="9.140625" style="263"/>
    <col min="6144" max="6144" width="21" style="263" customWidth="1"/>
    <col min="6145" max="6145" width="36.5703125" style="263" customWidth="1"/>
    <col min="6146" max="6391" width="9.140625" style="263"/>
    <col min="6392" max="6392" width="4.7109375" style="263" customWidth="1"/>
    <col min="6393" max="6393" width="30.7109375" style="263" customWidth="1"/>
    <col min="6394" max="6394" width="4.7109375" style="263" customWidth="1"/>
    <col min="6395" max="6395" width="13.7109375" style="263" customWidth="1"/>
    <col min="6396" max="6398" width="12.7109375" style="263" customWidth="1"/>
    <col min="6399" max="6399" width="9.140625" style="263"/>
    <col min="6400" max="6400" width="21" style="263" customWidth="1"/>
    <col min="6401" max="6401" width="36.5703125" style="263" customWidth="1"/>
    <col min="6402" max="6647" width="9.140625" style="263"/>
    <col min="6648" max="6648" width="4.7109375" style="263" customWidth="1"/>
    <col min="6649" max="6649" width="30.7109375" style="263" customWidth="1"/>
    <col min="6650" max="6650" width="4.7109375" style="263" customWidth="1"/>
    <col min="6651" max="6651" width="13.7109375" style="263" customWidth="1"/>
    <col min="6652" max="6654" width="12.7109375" style="263" customWidth="1"/>
    <col min="6655" max="6655" width="9.140625" style="263"/>
    <col min="6656" max="6656" width="21" style="263" customWidth="1"/>
    <col min="6657" max="6657" width="36.5703125" style="263" customWidth="1"/>
    <col min="6658" max="6903" width="9.140625" style="263"/>
    <col min="6904" max="6904" width="4.7109375" style="263" customWidth="1"/>
    <col min="6905" max="6905" width="30.7109375" style="263" customWidth="1"/>
    <col min="6906" max="6906" width="4.7109375" style="263" customWidth="1"/>
    <col min="6907" max="6907" width="13.7109375" style="263" customWidth="1"/>
    <col min="6908" max="6910" width="12.7109375" style="263" customWidth="1"/>
    <col min="6911" max="6911" width="9.140625" style="263"/>
    <col min="6912" max="6912" width="21" style="263" customWidth="1"/>
    <col min="6913" max="6913" width="36.5703125" style="263" customWidth="1"/>
    <col min="6914" max="7159" width="9.140625" style="263"/>
    <col min="7160" max="7160" width="4.7109375" style="263" customWidth="1"/>
    <col min="7161" max="7161" width="30.7109375" style="263" customWidth="1"/>
    <col min="7162" max="7162" width="4.7109375" style="263" customWidth="1"/>
    <col min="7163" max="7163" width="13.7109375" style="263" customWidth="1"/>
    <col min="7164" max="7166" width="12.7109375" style="263" customWidth="1"/>
    <col min="7167" max="7167" width="9.140625" style="263"/>
    <col min="7168" max="7168" width="21" style="263" customWidth="1"/>
    <col min="7169" max="7169" width="36.5703125" style="263" customWidth="1"/>
    <col min="7170" max="7415" width="9.140625" style="263"/>
    <col min="7416" max="7416" width="4.7109375" style="263" customWidth="1"/>
    <col min="7417" max="7417" width="30.7109375" style="263" customWidth="1"/>
    <col min="7418" max="7418" width="4.7109375" style="263" customWidth="1"/>
    <col min="7419" max="7419" width="13.7109375" style="263" customWidth="1"/>
    <col min="7420" max="7422" width="12.7109375" style="263" customWidth="1"/>
    <col min="7423" max="7423" width="9.140625" style="263"/>
    <col min="7424" max="7424" width="21" style="263" customWidth="1"/>
    <col min="7425" max="7425" width="36.5703125" style="263" customWidth="1"/>
    <col min="7426" max="7671" width="9.140625" style="263"/>
    <col min="7672" max="7672" width="4.7109375" style="263" customWidth="1"/>
    <col min="7673" max="7673" width="30.7109375" style="263" customWidth="1"/>
    <col min="7674" max="7674" width="4.7109375" style="263" customWidth="1"/>
    <col min="7675" max="7675" width="13.7109375" style="263" customWidth="1"/>
    <col min="7676" max="7678" width="12.7109375" style="263" customWidth="1"/>
    <col min="7679" max="7679" width="9.140625" style="263"/>
    <col min="7680" max="7680" width="21" style="263" customWidth="1"/>
    <col min="7681" max="7681" width="36.5703125" style="263" customWidth="1"/>
    <col min="7682" max="7927" width="9.140625" style="263"/>
    <col min="7928" max="7928" width="4.7109375" style="263" customWidth="1"/>
    <col min="7929" max="7929" width="30.7109375" style="263" customWidth="1"/>
    <col min="7930" max="7930" width="4.7109375" style="263" customWidth="1"/>
    <col min="7931" max="7931" width="13.7109375" style="263" customWidth="1"/>
    <col min="7932" max="7934" width="12.7109375" style="263" customWidth="1"/>
    <col min="7935" max="7935" width="9.140625" style="263"/>
    <col min="7936" max="7936" width="21" style="263" customWidth="1"/>
    <col min="7937" max="7937" width="36.5703125" style="263" customWidth="1"/>
    <col min="7938" max="8183" width="9.140625" style="263"/>
    <col min="8184" max="8184" width="4.7109375" style="263" customWidth="1"/>
    <col min="8185" max="8185" width="30.7109375" style="263" customWidth="1"/>
    <col min="8186" max="8186" width="4.7109375" style="263" customWidth="1"/>
    <col min="8187" max="8187" width="13.7109375" style="263" customWidth="1"/>
    <col min="8188" max="8190" width="12.7109375" style="263" customWidth="1"/>
    <col min="8191" max="8191" width="9.140625" style="263"/>
    <col min="8192" max="8192" width="21" style="263" customWidth="1"/>
    <col min="8193" max="8193" width="36.5703125" style="263" customWidth="1"/>
    <col min="8194" max="8439" width="9.140625" style="263"/>
    <col min="8440" max="8440" width="4.7109375" style="263" customWidth="1"/>
    <col min="8441" max="8441" width="30.7109375" style="263" customWidth="1"/>
    <col min="8442" max="8442" width="4.7109375" style="263" customWidth="1"/>
    <col min="8443" max="8443" width="13.7109375" style="263" customWidth="1"/>
    <col min="8444" max="8446" width="12.7109375" style="263" customWidth="1"/>
    <col min="8447" max="8447" width="9.140625" style="263"/>
    <col min="8448" max="8448" width="21" style="263" customWidth="1"/>
    <col min="8449" max="8449" width="36.5703125" style="263" customWidth="1"/>
    <col min="8450" max="8695" width="9.140625" style="263"/>
    <col min="8696" max="8696" width="4.7109375" style="263" customWidth="1"/>
    <col min="8697" max="8697" width="30.7109375" style="263" customWidth="1"/>
    <col min="8698" max="8698" width="4.7109375" style="263" customWidth="1"/>
    <col min="8699" max="8699" width="13.7109375" style="263" customWidth="1"/>
    <col min="8700" max="8702" width="12.7109375" style="263" customWidth="1"/>
    <col min="8703" max="8703" width="9.140625" style="263"/>
    <col min="8704" max="8704" width="21" style="263" customWidth="1"/>
    <col min="8705" max="8705" width="36.5703125" style="263" customWidth="1"/>
    <col min="8706" max="8951" width="9.140625" style="263"/>
    <col min="8952" max="8952" width="4.7109375" style="263" customWidth="1"/>
    <col min="8953" max="8953" width="30.7109375" style="263" customWidth="1"/>
    <col min="8954" max="8954" width="4.7109375" style="263" customWidth="1"/>
    <col min="8955" max="8955" width="13.7109375" style="263" customWidth="1"/>
    <col min="8956" max="8958" width="12.7109375" style="263" customWidth="1"/>
    <col min="8959" max="8959" width="9.140625" style="263"/>
    <col min="8960" max="8960" width="21" style="263" customWidth="1"/>
    <col min="8961" max="8961" width="36.5703125" style="263" customWidth="1"/>
    <col min="8962" max="9207" width="9.140625" style="263"/>
    <col min="9208" max="9208" width="4.7109375" style="263" customWidth="1"/>
    <col min="9209" max="9209" width="30.7109375" style="263" customWidth="1"/>
    <col min="9210" max="9210" width="4.7109375" style="263" customWidth="1"/>
    <col min="9211" max="9211" width="13.7109375" style="263" customWidth="1"/>
    <col min="9212" max="9214" width="12.7109375" style="263" customWidth="1"/>
    <col min="9215" max="9215" width="9.140625" style="263"/>
    <col min="9216" max="9216" width="21" style="263" customWidth="1"/>
    <col min="9217" max="9217" width="36.5703125" style="263" customWidth="1"/>
    <col min="9218" max="9463" width="9.140625" style="263"/>
    <col min="9464" max="9464" width="4.7109375" style="263" customWidth="1"/>
    <col min="9465" max="9465" width="30.7109375" style="263" customWidth="1"/>
    <col min="9466" max="9466" width="4.7109375" style="263" customWidth="1"/>
    <col min="9467" max="9467" width="13.7109375" style="263" customWidth="1"/>
    <col min="9468" max="9470" width="12.7109375" style="263" customWidth="1"/>
    <col min="9471" max="9471" width="9.140625" style="263"/>
    <col min="9472" max="9472" width="21" style="263" customWidth="1"/>
    <col min="9473" max="9473" width="36.5703125" style="263" customWidth="1"/>
    <col min="9474" max="9719" width="9.140625" style="263"/>
    <col min="9720" max="9720" width="4.7109375" style="263" customWidth="1"/>
    <col min="9721" max="9721" width="30.7109375" style="263" customWidth="1"/>
    <col min="9722" max="9722" width="4.7109375" style="263" customWidth="1"/>
    <col min="9723" max="9723" width="13.7109375" style="263" customWidth="1"/>
    <col min="9724" max="9726" width="12.7109375" style="263" customWidth="1"/>
    <col min="9727" max="9727" width="9.140625" style="263"/>
    <col min="9728" max="9728" width="21" style="263" customWidth="1"/>
    <col min="9729" max="9729" width="36.5703125" style="263" customWidth="1"/>
    <col min="9730" max="9975" width="9.140625" style="263"/>
    <col min="9976" max="9976" width="4.7109375" style="263" customWidth="1"/>
    <col min="9977" max="9977" width="30.7109375" style="263" customWidth="1"/>
    <col min="9978" max="9978" width="4.7109375" style="263" customWidth="1"/>
    <col min="9979" max="9979" width="13.7109375" style="263" customWidth="1"/>
    <col min="9980" max="9982" width="12.7109375" style="263" customWidth="1"/>
    <col min="9983" max="9983" width="9.140625" style="263"/>
    <col min="9984" max="9984" width="21" style="263" customWidth="1"/>
    <col min="9985" max="9985" width="36.5703125" style="263" customWidth="1"/>
    <col min="9986" max="10231" width="9.140625" style="263"/>
    <col min="10232" max="10232" width="4.7109375" style="263" customWidth="1"/>
    <col min="10233" max="10233" width="30.7109375" style="263" customWidth="1"/>
    <col min="10234" max="10234" width="4.7109375" style="263" customWidth="1"/>
    <col min="10235" max="10235" width="13.7109375" style="263" customWidth="1"/>
    <col min="10236" max="10238" width="12.7109375" style="263" customWidth="1"/>
    <col min="10239" max="10239" width="9.140625" style="263"/>
    <col min="10240" max="10240" width="21" style="263" customWidth="1"/>
    <col min="10241" max="10241" width="36.5703125" style="263" customWidth="1"/>
    <col min="10242" max="10487" width="9.140625" style="263"/>
    <col min="10488" max="10488" width="4.7109375" style="263" customWidth="1"/>
    <col min="10489" max="10489" width="30.7109375" style="263" customWidth="1"/>
    <col min="10490" max="10490" width="4.7109375" style="263" customWidth="1"/>
    <col min="10491" max="10491" width="13.7109375" style="263" customWidth="1"/>
    <col min="10492" max="10494" width="12.7109375" style="263" customWidth="1"/>
    <col min="10495" max="10495" width="9.140625" style="263"/>
    <col min="10496" max="10496" width="21" style="263" customWidth="1"/>
    <col min="10497" max="10497" width="36.5703125" style="263" customWidth="1"/>
    <col min="10498" max="10743" width="9.140625" style="263"/>
    <col min="10744" max="10744" width="4.7109375" style="263" customWidth="1"/>
    <col min="10745" max="10745" width="30.7109375" style="263" customWidth="1"/>
    <col min="10746" max="10746" width="4.7109375" style="263" customWidth="1"/>
    <col min="10747" max="10747" width="13.7109375" style="263" customWidth="1"/>
    <col min="10748" max="10750" width="12.7109375" style="263" customWidth="1"/>
    <col min="10751" max="10751" width="9.140625" style="263"/>
    <col min="10752" max="10752" width="21" style="263" customWidth="1"/>
    <col min="10753" max="10753" width="36.5703125" style="263" customWidth="1"/>
    <col min="10754" max="10999" width="9.140625" style="263"/>
    <col min="11000" max="11000" width="4.7109375" style="263" customWidth="1"/>
    <col min="11001" max="11001" width="30.7109375" style="263" customWidth="1"/>
    <col min="11002" max="11002" width="4.7109375" style="263" customWidth="1"/>
    <col min="11003" max="11003" width="13.7109375" style="263" customWidth="1"/>
    <col min="11004" max="11006" width="12.7109375" style="263" customWidth="1"/>
    <col min="11007" max="11007" width="9.140625" style="263"/>
    <col min="11008" max="11008" width="21" style="263" customWidth="1"/>
    <col min="11009" max="11009" width="36.5703125" style="263" customWidth="1"/>
    <col min="11010" max="11255" width="9.140625" style="263"/>
    <col min="11256" max="11256" width="4.7109375" style="263" customWidth="1"/>
    <col min="11257" max="11257" width="30.7109375" style="263" customWidth="1"/>
    <col min="11258" max="11258" width="4.7109375" style="263" customWidth="1"/>
    <col min="11259" max="11259" width="13.7109375" style="263" customWidth="1"/>
    <col min="11260" max="11262" width="12.7109375" style="263" customWidth="1"/>
    <col min="11263" max="11263" width="9.140625" style="263"/>
    <col min="11264" max="11264" width="21" style="263" customWidth="1"/>
    <col min="11265" max="11265" width="36.5703125" style="263" customWidth="1"/>
    <col min="11266" max="11511" width="9.140625" style="263"/>
    <col min="11512" max="11512" width="4.7109375" style="263" customWidth="1"/>
    <col min="11513" max="11513" width="30.7109375" style="263" customWidth="1"/>
    <col min="11514" max="11514" width="4.7109375" style="263" customWidth="1"/>
    <col min="11515" max="11515" width="13.7109375" style="263" customWidth="1"/>
    <col min="11516" max="11518" width="12.7109375" style="263" customWidth="1"/>
    <col min="11519" max="11519" width="9.140625" style="263"/>
    <col min="11520" max="11520" width="21" style="263" customWidth="1"/>
    <col min="11521" max="11521" width="36.5703125" style="263" customWidth="1"/>
    <col min="11522" max="11767" width="9.140625" style="263"/>
    <col min="11768" max="11768" width="4.7109375" style="263" customWidth="1"/>
    <col min="11769" max="11769" width="30.7109375" style="263" customWidth="1"/>
    <col min="11770" max="11770" width="4.7109375" style="263" customWidth="1"/>
    <col min="11771" max="11771" width="13.7109375" style="263" customWidth="1"/>
    <col min="11772" max="11774" width="12.7109375" style="263" customWidth="1"/>
    <col min="11775" max="11775" width="9.140625" style="263"/>
    <col min="11776" max="11776" width="21" style="263" customWidth="1"/>
    <col min="11777" max="11777" width="36.5703125" style="263" customWidth="1"/>
    <col min="11778" max="12023" width="9.140625" style="263"/>
    <col min="12024" max="12024" width="4.7109375" style="263" customWidth="1"/>
    <col min="12025" max="12025" width="30.7109375" style="263" customWidth="1"/>
    <col min="12026" max="12026" width="4.7109375" style="263" customWidth="1"/>
    <col min="12027" max="12027" width="13.7109375" style="263" customWidth="1"/>
    <col min="12028" max="12030" width="12.7109375" style="263" customWidth="1"/>
    <col min="12031" max="12031" width="9.140625" style="263"/>
    <col min="12032" max="12032" width="21" style="263" customWidth="1"/>
    <col min="12033" max="12033" width="36.5703125" style="263" customWidth="1"/>
    <col min="12034" max="12279" width="9.140625" style="263"/>
    <col min="12280" max="12280" width="4.7109375" style="263" customWidth="1"/>
    <col min="12281" max="12281" width="30.7109375" style="263" customWidth="1"/>
    <col min="12282" max="12282" width="4.7109375" style="263" customWidth="1"/>
    <col min="12283" max="12283" width="13.7109375" style="263" customWidth="1"/>
    <col min="12284" max="12286" width="12.7109375" style="263" customWidth="1"/>
    <col min="12287" max="12287" width="9.140625" style="263"/>
    <col min="12288" max="12288" width="21" style="263" customWidth="1"/>
    <col min="12289" max="12289" width="36.5703125" style="263" customWidth="1"/>
    <col min="12290" max="12535" width="9.140625" style="263"/>
    <col min="12536" max="12536" width="4.7109375" style="263" customWidth="1"/>
    <col min="12537" max="12537" width="30.7109375" style="263" customWidth="1"/>
    <col min="12538" max="12538" width="4.7109375" style="263" customWidth="1"/>
    <col min="12539" max="12539" width="13.7109375" style="263" customWidth="1"/>
    <col min="12540" max="12542" width="12.7109375" style="263" customWidth="1"/>
    <col min="12543" max="12543" width="9.140625" style="263"/>
    <col min="12544" max="12544" width="21" style="263" customWidth="1"/>
    <col min="12545" max="12545" width="36.5703125" style="263" customWidth="1"/>
    <col min="12546" max="12791" width="9.140625" style="263"/>
    <col min="12792" max="12792" width="4.7109375" style="263" customWidth="1"/>
    <col min="12793" max="12793" width="30.7109375" style="263" customWidth="1"/>
    <col min="12794" max="12794" width="4.7109375" style="263" customWidth="1"/>
    <col min="12795" max="12795" width="13.7109375" style="263" customWidth="1"/>
    <col min="12796" max="12798" width="12.7109375" style="263" customWidth="1"/>
    <col min="12799" max="12799" width="9.140625" style="263"/>
    <col min="12800" max="12800" width="21" style="263" customWidth="1"/>
    <col min="12801" max="12801" width="36.5703125" style="263" customWidth="1"/>
    <col min="12802" max="13047" width="9.140625" style="263"/>
    <col min="13048" max="13048" width="4.7109375" style="263" customWidth="1"/>
    <col min="13049" max="13049" width="30.7109375" style="263" customWidth="1"/>
    <col min="13050" max="13050" width="4.7109375" style="263" customWidth="1"/>
    <col min="13051" max="13051" width="13.7109375" style="263" customWidth="1"/>
    <col min="13052" max="13054" width="12.7109375" style="263" customWidth="1"/>
    <col min="13055" max="13055" width="9.140625" style="263"/>
    <col min="13056" max="13056" width="21" style="263" customWidth="1"/>
    <col min="13057" max="13057" width="36.5703125" style="263" customWidth="1"/>
    <col min="13058" max="13303" width="9.140625" style="263"/>
    <col min="13304" max="13304" width="4.7109375" style="263" customWidth="1"/>
    <col min="13305" max="13305" width="30.7109375" style="263" customWidth="1"/>
    <col min="13306" max="13306" width="4.7109375" style="263" customWidth="1"/>
    <col min="13307" max="13307" width="13.7109375" style="263" customWidth="1"/>
    <col min="13308" max="13310" width="12.7109375" style="263" customWidth="1"/>
    <col min="13311" max="13311" width="9.140625" style="263"/>
    <col min="13312" max="13312" width="21" style="263" customWidth="1"/>
    <col min="13313" max="13313" width="36.5703125" style="263" customWidth="1"/>
    <col min="13314" max="13559" width="9.140625" style="263"/>
    <col min="13560" max="13560" width="4.7109375" style="263" customWidth="1"/>
    <col min="13561" max="13561" width="30.7109375" style="263" customWidth="1"/>
    <col min="13562" max="13562" width="4.7109375" style="263" customWidth="1"/>
    <col min="13563" max="13563" width="13.7109375" style="263" customWidth="1"/>
    <col min="13564" max="13566" width="12.7109375" style="263" customWidth="1"/>
    <col min="13567" max="13567" width="9.140625" style="263"/>
    <col min="13568" max="13568" width="21" style="263" customWidth="1"/>
    <col min="13569" max="13569" width="36.5703125" style="263" customWidth="1"/>
    <col min="13570" max="13815" width="9.140625" style="263"/>
    <col min="13816" max="13816" width="4.7109375" style="263" customWidth="1"/>
    <col min="13817" max="13817" width="30.7109375" style="263" customWidth="1"/>
    <col min="13818" max="13818" width="4.7109375" style="263" customWidth="1"/>
    <col min="13819" max="13819" width="13.7109375" style="263" customWidth="1"/>
    <col min="13820" max="13822" width="12.7109375" style="263" customWidth="1"/>
    <col min="13823" max="13823" width="9.140625" style="263"/>
    <col min="13824" max="13824" width="21" style="263" customWidth="1"/>
    <col min="13825" max="13825" width="36.5703125" style="263" customWidth="1"/>
    <col min="13826" max="14071" width="9.140625" style="263"/>
    <col min="14072" max="14072" width="4.7109375" style="263" customWidth="1"/>
    <col min="14073" max="14073" width="30.7109375" style="263" customWidth="1"/>
    <col min="14074" max="14074" width="4.7109375" style="263" customWidth="1"/>
    <col min="14075" max="14075" width="13.7109375" style="263" customWidth="1"/>
    <col min="14076" max="14078" width="12.7109375" style="263" customWidth="1"/>
    <col min="14079" max="14079" width="9.140625" style="263"/>
    <col min="14080" max="14080" width="21" style="263" customWidth="1"/>
    <col min="14081" max="14081" width="36.5703125" style="263" customWidth="1"/>
    <col min="14082" max="14327" width="9.140625" style="263"/>
    <col min="14328" max="14328" width="4.7109375" style="263" customWidth="1"/>
    <col min="14329" max="14329" width="30.7109375" style="263" customWidth="1"/>
    <col min="14330" max="14330" width="4.7109375" style="263" customWidth="1"/>
    <col min="14331" max="14331" width="13.7109375" style="263" customWidth="1"/>
    <col min="14332" max="14334" width="12.7109375" style="263" customWidth="1"/>
    <col min="14335" max="14335" width="9.140625" style="263"/>
    <col min="14336" max="14336" width="21" style="263" customWidth="1"/>
    <col min="14337" max="14337" width="36.5703125" style="263" customWidth="1"/>
    <col min="14338" max="14583" width="9.140625" style="263"/>
    <col min="14584" max="14584" width="4.7109375" style="263" customWidth="1"/>
    <col min="14585" max="14585" width="30.7109375" style="263" customWidth="1"/>
    <col min="14586" max="14586" width="4.7109375" style="263" customWidth="1"/>
    <col min="14587" max="14587" width="13.7109375" style="263" customWidth="1"/>
    <col min="14588" max="14590" width="12.7109375" style="263" customWidth="1"/>
    <col min="14591" max="14591" width="9.140625" style="263"/>
    <col min="14592" max="14592" width="21" style="263" customWidth="1"/>
    <col min="14593" max="14593" width="36.5703125" style="263" customWidth="1"/>
    <col min="14594" max="14839" width="9.140625" style="263"/>
    <col min="14840" max="14840" width="4.7109375" style="263" customWidth="1"/>
    <col min="14841" max="14841" width="30.7109375" style="263" customWidth="1"/>
    <col min="14842" max="14842" width="4.7109375" style="263" customWidth="1"/>
    <col min="14843" max="14843" width="13.7109375" style="263" customWidth="1"/>
    <col min="14844" max="14846" width="12.7109375" style="263" customWidth="1"/>
    <col min="14847" max="14847" width="9.140625" style="263"/>
    <col min="14848" max="14848" width="21" style="263" customWidth="1"/>
    <col min="14849" max="14849" width="36.5703125" style="263" customWidth="1"/>
    <col min="14850" max="15095" width="9.140625" style="263"/>
    <col min="15096" max="15096" width="4.7109375" style="263" customWidth="1"/>
    <col min="15097" max="15097" width="30.7109375" style="263" customWidth="1"/>
    <col min="15098" max="15098" width="4.7109375" style="263" customWidth="1"/>
    <col min="15099" max="15099" width="13.7109375" style="263" customWidth="1"/>
    <col min="15100" max="15102" width="12.7109375" style="263" customWidth="1"/>
    <col min="15103" max="15103" width="9.140625" style="263"/>
    <col min="15104" max="15104" width="21" style="263" customWidth="1"/>
    <col min="15105" max="15105" width="36.5703125" style="263" customWidth="1"/>
    <col min="15106" max="15351" width="9.140625" style="263"/>
    <col min="15352" max="15352" width="4.7109375" style="263" customWidth="1"/>
    <col min="15353" max="15353" width="30.7109375" style="263" customWidth="1"/>
    <col min="15354" max="15354" width="4.7109375" style="263" customWidth="1"/>
    <col min="15355" max="15355" width="13.7109375" style="263" customWidth="1"/>
    <col min="15356" max="15358" width="12.7109375" style="263" customWidth="1"/>
    <col min="15359" max="15359" width="9.140625" style="263"/>
    <col min="15360" max="15360" width="21" style="263" customWidth="1"/>
    <col min="15361" max="15361" width="36.5703125" style="263" customWidth="1"/>
    <col min="15362" max="15607" width="9.140625" style="263"/>
    <col min="15608" max="15608" width="4.7109375" style="263" customWidth="1"/>
    <col min="15609" max="15609" width="30.7109375" style="263" customWidth="1"/>
    <col min="15610" max="15610" width="4.7109375" style="263" customWidth="1"/>
    <col min="15611" max="15611" width="13.7109375" style="263" customWidth="1"/>
    <col min="15612" max="15614" width="12.7109375" style="263" customWidth="1"/>
    <col min="15615" max="15615" width="9.140625" style="263"/>
    <col min="15616" max="15616" width="21" style="263" customWidth="1"/>
    <col min="15617" max="15617" width="36.5703125" style="263" customWidth="1"/>
    <col min="15618" max="15863" width="9.140625" style="263"/>
    <col min="15864" max="15864" width="4.7109375" style="263" customWidth="1"/>
    <col min="15865" max="15865" width="30.7109375" style="263" customWidth="1"/>
    <col min="15866" max="15866" width="4.7109375" style="263" customWidth="1"/>
    <col min="15867" max="15867" width="13.7109375" style="263" customWidth="1"/>
    <col min="15868" max="15870" width="12.7109375" style="263" customWidth="1"/>
    <col min="15871" max="15871" width="9.140625" style="263"/>
    <col min="15872" max="15872" width="21" style="263" customWidth="1"/>
    <col min="15873" max="15873" width="36.5703125" style="263" customWidth="1"/>
    <col min="15874" max="16119" width="9.140625" style="263"/>
    <col min="16120" max="16120" width="4.7109375" style="263" customWidth="1"/>
    <col min="16121" max="16121" width="30.7109375" style="263" customWidth="1"/>
    <col min="16122" max="16122" width="4.7109375" style="263" customWidth="1"/>
    <col min="16123" max="16123" width="13.7109375" style="263" customWidth="1"/>
    <col min="16124" max="16126" width="12.7109375" style="263" customWidth="1"/>
    <col min="16127" max="16127" width="9.140625" style="263"/>
    <col min="16128" max="16128" width="21" style="263" customWidth="1"/>
    <col min="16129" max="16129" width="36.5703125" style="263" customWidth="1"/>
    <col min="16130" max="16384" width="9.140625" style="263"/>
  </cols>
  <sheetData>
    <row r="1" spans="1:7" ht="12.75" customHeight="1">
      <c r="B1" s="276" t="s">
        <v>27</v>
      </c>
    </row>
    <row r="2" spans="1:7" ht="12.75" customHeight="1">
      <c r="B2" s="276" t="s">
        <v>28</v>
      </c>
    </row>
    <row r="3" spans="1:7" ht="12.75" customHeight="1">
      <c r="B3" s="277" t="s">
        <v>29</v>
      </c>
    </row>
    <row r="4" spans="1:7" ht="12.75" customHeight="1"/>
    <row r="5" spans="1:7" ht="15.75">
      <c r="A5" s="22" t="s">
        <v>207</v>
      </c>
      <c r="B5" s="129" t="s">
        <v>209</v>
      </c>
      <c r="C5" s="288"/>
      <c r="D5" s="287"/>
      <c r="E5" s="46"/>
      <c r="F5" s="46"/>
      <c r="G5" s="215"/>
    </row>
    <row r="6" spans="1:7" ht="12.75" customHeight="1">
      <c r="A6" s="22"/>
      <c r="B6" s="129"/>
      <c r="C6" s="288"/>
      <c r="D6" s="287"/>
      <c r="E6" s="46"/>
      <c r="F6" s="46"/>
      <c r="G6" s="215"/>
    </row>
    <row r="7" spans="1:7" s="275" customFormat="1" ht="15">
      <c r="A7" s="285" t="s">
        <v>200</v>
      </c>
      <c r="B7" s="286" t="s">
        <v>169</v>
      </c>
      <c r="C7" s="299"/>
      <c r="D7" s="284"/>
      <c r="E7" s="302"/>
      <c r="F7" s="302"/>
      <c r="G7" s="303"/>
    </row>
    <row r="8" spans="1:7" ht="12.75" customHeight="1">
      <c r="A8" s="48"/>
      <c r="B8" s="283"/>
      <c r="C8" s="289"/>
      <c r="D8" s="45"/>
      <c r="E8" s="46"/>
      <c r="F8" s="46"/>
      <c r="G8" s="215"/>
    </row>
    <row r="9" spans="1:7" ht="39.75" customHeight="1">
      <c r="A9" s="48">
        <v>1</v>
      </c>
      <c r="B9" s="77" t="s">
        <v>216</v>
      </c>
      <c r="C9" s="289" t="s">
        <v>56</v>
      </c>
      <c r="D9" s="272">
        <v>215</v>
      </c>
      <c r="E9" s="272">
        <f>+D9</f>
        <v>215</v>
      </c>
      <c r="F9" s="46"/>
      <c r="G9" s="215">
        <f t="shared" ref="G9" si="0">+E9*F9</f>
        <v>0</v>
      </c>
    </row>
    <row r="10" spans="1:7" ht="12.75" customHeight="1">
      <c r="A10" s="48"/>
      <c r="B10" s="72"/>
      <c r="C10" s="289"/>
      <c r="D10" s="272"/>
      <c r="E10" s="272"/>
      <c r="F10" s="46"/>
      <c r="G10" s="215"/>
    </row>
    <row r="11" spans="1:7" ht="53.25" customHeight="1">
      <c r="A11" s="48">
        <f>+A9+1</f>
        <v>2</v>
      </c>
      <c r="B11" s="77" t="s">
        <v>20</v>
      </c>
      <c r="C11" s="289" t="s">
        <v>15</v>
      </c>
      <c r="D11" s="60">
        <v>7</v>
      </c>
      <c r="E11" s="60">
        <f>+D11</f>
        <v>7</v>
      </c>
      <c r="F11" s="46"/>
      <c r="G11" s="215">
        <f t="shared" ref="G11" si="1">E11*F11</f>
        <v>0</v>
      </c>
    </row>
    <row r="12" spans="1:7" ht="12.75" customHeight="1">
      <c r="A12" s="48"/>
      <c r="B12" s="77"/>
      <c r="C12" s="290"/>
      <c r="D12" s="278"/>
      <c r="E12" s="273"/>
      <c r="F12" s="273"/>
      <c r="G12" s="282"/>
    </row>
    <row r="13" spans="1:7" ht="192" customHeight="1">
      <c r="A13" s="48">
        <f>+A11+1</f>
        <v>3</v>
      </c>
      <c r="B13" s="53" t="s">
        <v>55</v>
      </c>
      <c r="C13" s="291" t="s">
        <v>17</v>
      </c>
      <c r="D13" s="271" t="s">
        <v>211</v>
      </c>
      <c r="E13" s="271">
        <f>215*0.9</f>
        <v>193.5</v>
      </c>
      <c r="F13" s="57"/>
      <c r="G13" s="66">
        <f t="shared" ref="G13" si="2">E13*F13</f>
        <v>0</v>
      </c>
    </row>
    <row r="14" spans="1:7" ht="12.75" customHeight="1">
      <c r="A14" s="48"/>
      <c r="B14" s="77"/>
      <c r="C14" s="290"/>
      <c r="D14" s="278"/>
      <c r="E14" s="273"/>
      <c r="F14" s="273"/>
      <c r="G14" s="282"/>
    </row>
    <row r="15" spans="1:7" ht="217.5" customHeight="1">
      <c r="A15" s="48">
        <f>+A13+1</f>
        <v>4</v>
      </c>
      <c r="B15" s="74" t="s">
        <v>210</v>
      </c>
      <c r="C15" s="266"/>
      <c r="D15" s="84"/>
      <c r="E15" s="84"/>
      <c r="F15" s="279"/>
      <c r="G15" s="282"/>
    </row>
    <row r="16" spans="1:7" ht="25.5">
      <c r="A16" s="48"/>
      <c r="B16" s="398" t="s">
        <v>219</v>
      </c>
      <c r="C16" s="280" t="s">
        <v>19</v>
      </c>
      <c r="D16" s="235">
        <v>215</v>
      </c>
      <c r="E16" s="235">
        <f>+D16</f>
        <v>215</v>
      </c>
      <c r="F16" s="280"/>
      <c r="G16" s="470">
        <f t="shared" ref="G16:G18" si="3">E16*F16</f>
        <v>0</v>
      </c>
    </row>
    <row r="17" spans="1:7" ht="12.75" customHeight="1">
      <c r="A17" s="48"/>
      <c r="B17" s="53"/>
      <c r="C17" s="292"/>
      <c r="D17" s="273"/>
      <c r="E17" s="273"/>
      <c r="F17" s="273"/>
      <c r="G17" s="293"/>
    </row>
    <row r="18" spans="1:7" ht="257.25" customHeight="1">
      <c r="A18" s="48">
        <f>+A15+1</f>
        <v>5</v>
      </c>
      <c r="B18" s="74" t="s">
        <v>213</v>
      </c>
      <c r="C18" s="266" t="s">
        <v>15</v>
      </c>
      <c r="D18" s="84">
        <v>4</v>
      </c>
      <c r="E18" s="84">
        <f>+D18</f>
        <v>4</v>
      </c>
      <c r="F18" s="279"/>
      <c r="G18" s="470">
        <f t="shared" si="3"/>
        <v>0</v>
      </c>
    </row>
    <row r="19" spans="1:7" ht="12.75" customHeight="1">
      <c r="A19" s="48"/>
      <c r="B19" s="56"/>
      <c r="C19" s="291"/>
      <c r="D19" s="274"/>
      <c r="E19" s="274"/>
      <c r="F19" s="274"/>
      <c r="G19" s="282"/>
    </row>
    <row r="20" spans="1:7" ht="269.25" customHeight="1">
      <c r="A20" s="48">
        <f>+A18+1</f>
        <v>6</v>
      </c>
      <c r="B20" s="74" t="s">
        <v>212</v>
      </c>
      <c r="C20" s="266" t="s">
        <v>15</v>
      </c>
      <c r="D20" s="84">
        <v>1</v>
      </c>
      <c r="E20" s="84">
        <f>+D20</f>
        <v>1</v>
      </c>
      <c r="F20" s="279"/>
      <c r="G20" s="470">
        <f t="shared" ref="G20" si="4">E20*F20</f>
        <v>0</v>
      </c>
    </row>
    <row r="21" spans="1:7" ht="12.75" customHeight="1">
      <c r="A21" s="48"/>
      <c r="B21" s="72"/>
      <c r="C21" s="291"/>
      <c r="D21" s="272"/>
      <c r="E21" s="272"/>
      <c r="F21" s="274"/>
      <c r="G21" s="282"/>
    </row>
    <row r="22" spans="1:7" ht="102">
      <c r="A22" s="48">
        <f>+A20+1</f>
        <v>7</v>
      </c>
      <c r="B22" s="128" t="s">
        <v>282</v>
      </c>
      <c r="C22" s="294" t="s">
        <v>17</v>
      </c>
      <c r="D22" s="271" t="s">
        <v>211</v>
      </c>
      <c r="E22" s="271">
        <f>215*0.9</f>
        <v>193.5</v>
      </c>
      <c r="F22" s="236"/>
      <c r="G22" s="248">
        <f t="shared" ref="G22" si="5">E22*F22</f>
        <v>0</v>
      </c>
    </row>
    <row r="23" spans="1:7" ht="12.75" customHeight="1">
      <c r="A23" s="48"/>
      <c r="B23" s="72"/>
      <c r="C23" s="289"/>
      <c r="D23" s="60"/>
      <c r="E23" s="46"/>
      <c r="F23" s="46">
        <v>0</v>
      </c>
      <c r="G23" s="215"/>
    </row>
    <row r="24" spans="1:7" s="275" customFormat="1" ht="15.75" thickBot="1">
      <c r="A24" s="285" t="s">
        <v>200</v>
      </c>
      <c r="B24" s="286" t="s">
        <v>169</v>
      </c>
      <c r="C24" s="299"/>
      <c r="D24" s="300"/>
      <c r="E24" s="302"/>
      <c r="F24" s="127" t="s">
        <v>62</v>
      </c>
      <c r="G24" s="471">
        <f>SUM(G9:G22)</f>
        <v>0</v>
      </c>
    </row>
    <row r="25" spans="1:7" ht="12.75" customHeight="1" thickTop="1">
      <c r="A25" s="48"/>
      <c r="B25" s="72"/>
      <c r="C25" s="289"/>
      <c r="D25" s="60"/>
      <c r="E25" s="46"/>
      <c r="F25" s="46">
        <v>0</v>
      </c>
      <c r="G25" s="215"/>
    </row>
    <row r="26" spans="1:7" ht="12.75" customHeight="1">
      <c r="A26" s="48"/>
      <c r="B26" s="72"/>
      <c r="C26" s="289"/>
      <c r="D26" s="60"/>
      <c r="E26" s="46"/>
      <c r="F26" s="46">
        <v>0</v>
      </c>
      <c r="G26" s="215"/>
    </row>
    <row r="27" spans="1:7" s="275" customFormat="1" ht="15">
      <c r="A27" s="285" t="s">
        <v>214</v>
      </c>
      <c r="B27" s="286" t="s">
        <v>170</v>
      </c>
      <c r="C27" s="299"/>
      <c r="D27" s="300"/>
      <c r="E27" s="302"/>
      <c r="F27" s="302">
        <v>0</v>
      </c>
      <c r="G27" s="303"/>
    </row>
    <row r="28" spans="1:7" ht="12.75" customHeight="1">
      <c r="A28" s="48"/>
      <c r="B28" s="72"/>
      <c r="C28" s="289"/>
      <c r="D28" s="60"/>
      <c r="E28" s="46"/>
      <c r="F28" s="46">
        <v>0</v>
      </c>
      <c r="G28" s="215"/>
    </row>
    <row r="29" spans="1:7" ht="40.5" customHeight="1">
      <c r="A29" s="48">
        <v>1</v>
      </c>
      <c r="B29" s="77" t="s">
        <v>216</v>
      </c>
      <c r="C29" s="289" t="s">
        <v>56</v>
      </c>
      <c r="D29" s="272">
        <v>95</v>
      </c>
      <c r="E29" s="272">
        <f>+D29</f>
        <v>95</v>
      </c>
      <c r="F29" s="46"/>
      <c r="G29" s="215">
        <f t="shared" ref="G29" si="6">+E29*F29</f>
        <v>0</v>
      </c>
    </row>
    <row r="30" spans="1:7" ht="12.75" customHeight="1">
      <c r="A30" s="48"/>
      <c r="B30" s="72"/>
      <c r="C30" s="289"/>
      <c r="D30" s="272"/>
      <c r="E30" s="272"/>
      <c r="F30" s="46"/>
      <c r="G30" s="215"/>
    </row>
    <row r="31" spans="1:7" ht="72" customHeight="1">
      <c r="A31" s="48">
        <f>+A29+1</f>
        <v>2</v>
      </c>
      <c r="B31" s="77" t="s">
        <v>20</v>
      </c>
      <c r="C31" s="289" t="s">
        <v>15</v>
      </c>
      <c r="D31" s="60">
        <v>4</v>
      </c>
      <c r="E31" s="60">
        <f>+D31</f>
        <v>4</v>
      </c>
      <c r="F31" s="46"/>
      <c r="G31" s="215">
        <f t="shared" ref="G31" si="7">E31*F31</f>
        <v>0</v>
      </c>
    </row>
    <row r="32" spans="1:7" ht="12.75" customHeight="1">
      <c r="A32" s="48"/>
      <c r="B32" s="72"/>
      <c r="C32" s="289"/>
      <c r="D32" s="60"/>
      <c r="E32" s="46"/>
      <c r="F32" s="46"/>
      <c r="G32" s="215"/>
    </row>
    <row r="33" spans="1:7" ht="225" customHeight="1">
      <c r="A33" s="48">
        <f>+A31+1</f>
        <v>3</v>
      </c>
      <c r="B33" s="53" t="s">
        <v>88</v>
      </c>
      <c r="C33" s="297" t="s">
        <v>17</v>
      </c>
      <c r="D33" s="57" t="s">
        <v>218</v>
      </c>
      <c r="E33" s="57">
        <f>47*0.9</f>
        <v>42.300000000000004</v>
      </c>
      <c r="F33" s="58"/>
      <c r="G33" s="465">
        <f t="shared" ref="G33" si="8">E33*F33</f>
        <v>0</v>
      </c>
    </row>
    <row r="34" spans="1:7" ht="12.75" customHeight="1">
      <c r="A34" s="48"/>
      <c r="B34" s="20"/>
      <c r="C34" s="289"/>
      <c r="D34" s="60"/>
      <c r="E34" s="46"/>
      <c r="F34" s="46"/>
      <c r="G34" s="215"/>
    </row>
    <row r="35" spans="1:7" ht="12.75" customHeight="1">
      <c r="A35" s="48">
        <f>+A33+1</f>
        <v>4</v>
      </c>
      <c r="B35" s="74" t="s">
        <v>210</v>
      </c>
      <c r="C35" s="266"/>
      <c r="D35" s="84"/>
      <c r="E35" s="84"/>
      <c r="F35" s="279"/>
      <c r="G35" s="282"/>
    </row>
    <row r="36" spans="1:7" ht="25.5">
      <c r="A36" s="48"/>
      <c r="B36" s="398" t="s">
        <v>219</v>
      </c>
      <c r="C36" s="266" t="s">
        <v>19</v>
      </c>
      <c r="D36" s="235">
        <v>95</v>
      </c>
      <c r="E36" s="235">
        <f>+D36</f>
        <v>95</v>
      </c>
      <c r="F36" s="280"/>
      <c r="G36" s="470">
        <f t="shared" ref="G36" si="9">E36*F36</f>
        <v>0</v>
      </c>
    </row>
    <row r="37" spans="1:7" ht="12.75" customHeight="1">
      <c r="A37" s="48"/>
      <c r="B37" s="398"/>
      <c r="C37" s="280"/>
      <c r="D37" s="235"/>
      <c r="E37" s="235"/>
      <c r="F37" s="280"/>
      <c r="G37" s="470"/>
    </row>
    <row r="38" spans="1:7" ht="256.5" customHeight="1">
      <c r="A38" s="48">
        <f>+A35+1</f>
        <v>5</v>
      </c>
      <c r="B38" s="74" t="s">
        <v>213</v>
      </c>
      <c r="C38" s="266" t="s">
        <v>15</v>
      </c>
      <c r="D38" s="84">
        <v>2</v>
      </c>
      <c r="E38" s="84">
        <f>+D38</f>
        <v>2</v>
      </c>
      <c r="F38" s="279"/>
      <c r="G38" s="470">
        <f t="shared" ref="G38" si="10">E38*F38</f>
        <v>0</v>
      </c>
    </row>
    <row r="39" spans="1:7" ht="12.75" customHeight="1">
      <c r="A39" s="48"/>
      <c r="B39" s="56"/>
      <c r="C39" s="291"/>
      <c r="D39" s="274"/>
      <c r="E39" s="274"/>
      <c r="F39" s="274"/>
      <c r="G39" s="282"/>
    </row>
    <row r="40" spans="1:7" ht="280.5">
      <c r="A40" s="48">
        <f>+A38+1</f>
        <v>6</v>
      </c>
      <c r="B40" s="74" t="s">
        <v>212</v>
      </c>
      <c r="C40" s="266" t="s">
        <v>15</v>
      </c>
      <c r="D40" s="84">
        <v>1</v>
      </c>
      <c r="E40" s="84">
        <f>+D40</f>
        <v>1</v>
      </c>
      <c r="F40" s="279"/>
      <c r="G40" s="470">
        <f t="shared" ref="G40" si="11">E40*F40</f>
        <v>0</v>
      </c>
    </row>
    <row r="41" spans="1:7" ht="12.75" customHeight="1">
      <c r="A41" s="48"/>
      <c r="B41" s="20"/>
      <c r="C41" s="289"/>
      <c r="D41" s="60"/>
      <c r="E41" s="295"/>
      <c r="F41" s="46"/>
      <c r="G41" s="215"/>
    </row>
    <row r="42" spans="1:7" ht="147.75" customHeight="1">
      <c r="A42" s="48">
        <f>+A40+1</f>
        <v>7</v>
      </c>
      <c r="B42" s="77" t="s">
        <v>72</v>
      </c>
      <c r="C42" s="298" t="s">
        <v>17</v>
      </c>
      <c r="D42" s="57" t="s">
        <v>218</v>
      </c>
      <c r="E42" s="57">
        <f>47*0.9</f>
        <v>42.300000000000004</v>
      </c>
      <c r="F42" s="67"/>
      <c r="G42" s="470">
        <f t="shared" ref="G42" si="12">E42*F42</f>
        <v>0</v>
      </c>
    </row>
    <row r="43" spans="1:7" ht="12.75" customHeight="1">
      <c r="A43" s="48"/>
      <c r="B43" s="20"/>
      <c r="C43" s="289"/>
      <c r="D43" s="60"/>
      <c r="E43" s="295"/>
      <c r="F43" s="46"/>
      <c r="G43" s="215"/>
    </row>
    <row r="44" spans="1:7" s="275" customFormat="1" ht="15.75" thickBot="1">
      <c r="A44" s="285" t="s">
        <v>214</v>
      </c>
      <c r="B44" s="286" t="s">
        <v>170</v>
      </c>
      <c r="C44" s="299"/>
      <c r="D44" s="300"/>
      <c r="E44" s="301"/>
      <c r="F44" s="191" t="s">
        <v>62</v>
      </c>
      <c r="G44" s="191">
        <f>SUM(G29:G42)</f>
        <v>0</v>
      </c>
    </row>
    <row r="45" spans="1:7" ht="12.75" customHeight="1" thickTop="1">
      <c r="A45" s="48"/>
      <c r="B45" s="20"/>
      <c r="C45" s="289"/>
      <c r="D45" s="60"/>
      <c r="E45" s="295"/>
      <c r="F45" s="46"/>
      <c r="G45" s="215"/>
    </row>
    <row r="46" spans="1:7" ht="12.75" customHeight="1">
      <c r="A46" s="48"/>
      <c r="B46" s="20"/>
      <c r="C46" s="289"/>
      <c r="D46" s="60"/>
      <c r="E46" s="295"/>
      <c r="F46" s="46"/>
      <c r="G46" s="215"/>
    </row>
    <row r="47" spans="1:7" ht="15">
      <c r="A47" s="48"/>
      <c r="B47" s="296" t="s">
        <v>215</v>
      </c>
      <c r="C47" s="289"/>
      <c r="D47" s="60"/>
      <c r="E47" s="295"/>
      <c r="F47" s="46"/>
      <c r="G47" s="215"/>
    </row>
    <row r="48" spans="1:7" ht="12.75" customHeight="1">
      <c r="A48" s="48"/>
      <c r="B48" s="20"/>
      <c r="C48" s="289"/>
      <c r="D48" s="60"/>
      <c r="E48" s="295"/>
      <c r="F48" s="46"/>
      <c r="G48" s="215"/>
    </row>
    <row r="49" spans="1:7" s="275" customFormat="1" ht="15">
      <c r="A49" s="285" t="s">
        <v>200</v>
      </c>
      <c r="B49" s="286" t="s">
        <v>169</v>
      </c>
      <c r="C49" s="299"/>
      <c r="D49" s="300"/>
      <c r="E49" s="301"/>
      <c r="F49" s="302"/>
      <c r="G49" s="303">
        <f>+G24</f>
        <v>0</v>
      </c>
    </row>
    <row r="50" spans="1:7" s="275" customFormat="1" ht="15">
      <c r="A50" s="285" t="s">
        <v>214</v>
      </c>
      <c r="B50" s="286" t="s">
        <v>170</v>
      </c>
      <c r="C50" s="299"/>
      <c r="D50" s="300"/>
      <c r="E50" s="302"/>
      <c r="F50" s="302"/>
      <c r="G50" s="303">
        <f>+G44</f>
        <v>0</v>
      </c>
    </row>
    <row r="51" spans="1:7" ht="12.75" customHeight="1">
      <c r="A51" s="48"/>
      <c r="B51" s="20"/>
      <c r="C51" s="289"/>
      <c r="D51" s="60"/>
      <c r="E51" s="46"/>
      <c r="F51" s="46"/>
      <c r="G51" s="215"/>
    </row>
    <row r="52" spans="1:7" s="306" customFormat="1" ht="16.5" thickBot="1">
      <c r="A52" s="22" t="s">
        <v>207</v>
      </c>
      <c r="B52" s="129" t="s">
        <v>209</v>
      </c>
      <c r="C52" s="288"/>
      <c r="D52" s="287"/>
      <c r="E52" s="304"/>
      <c r="F52" s="305" t="s">
        <v>62</v>
      </c>
      <c r="G52" s="472">
        <f>SUM(G49:G51)</f>
        <v>0</v>
      </c>
    </row>
    <row r="53" spans="1:7" ht="12.75" customHeight="1" thickTop="1">
      <c r="A53" s="48"/>
      <c r="B53" s="20"/>
      <c r="C53" s="289"/>
      <c r="D53" s="60"/>
      <c r="E53" s="46"/>
      <c r="F53" s="46"/>
      <c r="G53" s="215"/>
    </row>
    <row r="54" spans="1:7" ht="12.75" customHeight="1">
      <c r="A54" s="48"/>
      <c r="B54" s="20"/>
      <c r="C54" s="289"/>
      <c r="D54" s="60"/>
      <c r="E54" s="46"/>
      <c r="F54" s="46"/>
      <c r="G54" s="215"/>
    </row>
    <row r="55" spans="1:7" ht="12.75" customHeight="1">
      <c r="A55" s="48"/>
      <c r="B55" s="59"/>
      <c r="C55" s="289"/>
      <c r="D55" s="60"/>
      <c r="E55" s="46"/>
      <c r="F55" s="46"/>
      <c r="G55" s="215"/>
    </row>
    <row r="56" spans="1:7" ht="12.75" customHeight="1">
      <c r="B56" s="53"/>
      <c r="C56" s="290"/>
      <c r="D56" s="278"/>
      <c r="E56" s="278"/>
      <c r="F56" s="281"/>
      <c r="G56" s="282"/>
    </row>
    <row r="57" spans="1:7" ht="12.75" customHeight="1"/>
    <row r="58" spans="1:7" ht="12.75" customHeight="1">
      <c r="B58" s="20"/>
      <c r="C58" s="290"/>
      <c r="D58" s="278"/>
      <c r="E58" s="278"/>
      <c r="F58" s="281"/>
      <c r="G58" s="282"/>
    </row>
    <row r="59" spans="1:7" ht="12.75" customHeight="1"/>
    <row r="60" spans="1:7" ht="12.75" customHeight="1"/>
    <row r="61" spans="1:7" ht="12.75" customHeight="1"/>
    <row r="62" spans="1:7" ht="12.75" customHeight="1"/>
    <row r="156" ht="15" customHeight="1"/>
    <row r="179" ht="26.25" customHeight="1"/>
    <row r="254" ht="12.75" customHeight="1"/>
    <row r="256"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sheetData>
  <conditionalFormatting sqref="F9:F42">
    <cfRule type="cellIs" dxfId="4" priority="1" operator="equal">
      <formula>0</formula>
    </cfRule>
  </conditionalFormatting>
  <pageMargins left="0.78740157480314965" right="0.19685039370078741" top="0.59055118110236227" bottom="0.59055118110236227" header="0" footer="0.19685039370078741"/>
  <pageSetup paperSize="9" orientation="portrait" r:id="rId1"/>
  <headerFooter>
    <oddFooter>Stran &amp;P</oddFooter>
  </headerFooter>
  <rowBreaks count="1" manualBreakCount="1">
    <brk id="25"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M190"/>
  <sheetViews>
    <sheetView showZeros="0" topLeftCell="A171" zoomScale="130" zoomScaleNormal="130" zoomScalePageLayoutView="130" workbookViewId="0">
      <selection activeCell="F189" sqref="F189"/>
    </sheetView>
  </sheetViews>
  <sheetFormatPr defaultRowHeight="12.75"/>
  <cols>
    <col min="1" max="1" width="4.7109375" style="4" customWidth="1"/>
    <col min="2" max="2" width="30.85546875" style="269" customWidth="1"/>
    <col min="3" max="3" width="12.85546875" style="269" customWidth="1"/>
    <col min="4" max="4" width="13.42578125" style="399" customWidth="1"/>
    <col min="5" max="5" width="11.28515625" style="400" customWidth="1"/>
    <col min="6" max="6" width="12.85546875" style="473" customWidth="1"/>
    <col min="7" max="245" width="9.140625" style="263"/>
    <col min="246" max="246" width="4.7109375" style="263" customWidth="1"/>
    <col min="247" max="247" width="30.7109375" style="263" customWidth="1"/>
    <col min="248" max="248" width="4.7109375" style="263" customWidth="1"/>
    <col min="249" max="249" width="13.7109375" style="263" customWidth="1"/>
    <col min="250" max="252" width="12.7109375" style="263" customWidth="1"/>
    <col min="253" max="253" width="9.140625" style="263"/>
    <col min="254" max="254" width="21" style="263" customWidth="1"/>
    <col min="255" max="255" width="36.5703125" style="263" customWidth="1"/>
    <col min="256" max="501" width="9.140625" style="263"/>
    <col min="502" max="502" width="4.7109375" style="263" customWidth="1"/>
    <col min="503" max="503" width="30.7109375" style="263" customWidth="1"/>
    <col min="504" max="504" width="4.7109375" style="263" customWidth="1"/>
    <col min="505" max="505" width="13.7109375" style="263" customWidth="1"/>
    <col min="506" max="508" width="12.7109375" style="263" customWidth="1"/>
    <col min="509" max="509" width="9.140625" style="263"/>
    <col min="510" max="510" width="21" style="263" customWidth="1"/>
    <col min="511" max="511" width="36.5703125" style="263" customWidth="1"/>
    <col min="512" max="757" width="9.140625" style="263"/>
    <col min="758" max="758" width="4.7109375" style="263" customWidth="1"/>
    <col min="759" max="759" width="30.7109375" style="263" customWidth="1"/>
    <col min="760" max="760" width="4.7109375" style="263" customWidth="1"/>
    <col min="761" max="761" width="13.7109375" style="263" customWidth="1"/>
    <col min="762" max="764" width="12.7109375" style="263" customWidth="1"/>
    <col min="765" max="765" width="9.140625" style="263"/>
    <col min="766" max="766" width="21" style="263" customWidth="1"/>
    <col min="767" max="767" width="36.5703125" style="263" customWidth="1"/>
    <col min="768" max="1013" width="9.140625" style="263"/>
    <col min="1014" max="1014" width="4.7109375" style="263" customWidth="1"/>
    <col min="1015" max="1015" width="30.7109375" style="263" customWidth="1"/>
    <col min="1016" max="1016" width="4.7109375" style="263" customWidth="1"/>
    <col min="1017" max="1017" width="13.7109375" style="263" customWidth="1"/>
    <col min="1018" max="1020" width="12.7109375" style="263" customWidth="1"/>
    <col min="1021" max="1021" width="9.140625" style="263"/>
    <col min="1022" max="1022" width="21" style="263" customWidth="1"/>
    <col min="1023" max="1023" width="36.5703125" style="263" customWidth="1"/>
    <col min="1024" max="1269" width="9.140625" style="263"/>
    <col min="1270" max="1270" width="4.7109375" style="263" customWidth="1"/>
    <col min="1271" max="1271" width="30.7109375" style="263" customWidth="1"/>
    <col min="1272" max="1272" width="4.7109375" style="263" customWidth="1"/>
    <col min="1273" max="1273" width="13.7109375" style="263" customWidth="1"/>
    <col min="1274" max="1276" width="12.7109375" style="263" customWidth="1"/>
    <col min="1277" max="1277" width="9.140625" style="263"/>
    <col min="1278" max="1278" width="21" style="263" customWidth="1"/>
    <col min="1279" max="1279" width="36.5703125" style="263" customWidth="1"/>
    <col min="1280" max="1525" width="9.140625" style="263"/>
    <col min="1526" max="1526" width="4.7109375" style="263" customWidth="1"/>
    <col min="1527" max="1527" width="30.7109375" style="263" customWidth="1"/>
    <col min="1528" max="1528" width="4.7109375" style="263" customWidth="1"/>
    <col min="1529" max="1529" width="13.7109375" style="263" customWidth="1"/>
    <col min="1530" max="1532" width="12.7109375" style="263" customWidth="1"/>
    <col min="1533" max="1533" width="9.140625" style="263"/>
    <col min="1534" max="1534" width="21" style="263" customWidth="1"/>
    <col min="1535" max="1535" width="36.5703125" style="263" customWidth="1"/>
    <col min="1536" max="1781" width="9.140625" style="263"/>
    <col min="1782" max="1782" width="4.7109375" style="263" customWidth="1"/>
    <col min="1783" max="1783" width="30.7109375" style="263" customWidth="1"/>
    <col min="1784" max="1784" width="4.7109375" style="263" customWidth="1"/>
    <col min="1785" max="1785" width="13.7109375" style="263" customWidth="1"/>
    <col min="1786" max="1788" width="12.7109375" style="263" customWidth="1"/>
    <col min="1789" max="1789" width="9.140625" style="263"/>
    <col min="1790" max="1790" width="21" style="263" customWidth="1"/>
    <col min="1791" max="1791" width="36.5703125" style="263" customWidth="1"/>
    <col min="1792" max="2037" width="9.140625" style="263"/>
    <col min="2038" max="2038" width="4.7109375" style="263" customWidth="1"/>
    <col min="2039" max="2039" width="30.7109375" style="263" customWidth="1"/>
    <col min="2040" max="2040" width="4.7109375" style="263" customWidth="1"/>
    <col min="2041" max="2041" width="13.7109375" style="263" customWidth="1"/>
    <col min="2042" max="2044" width="12.7109375" style="263" customWidth="1"/>
    <col min="2045" max="2045" width="9.140625" style="263"/>
    <col min="2046" max="2046" width="21" style="263" customWidth="1"/>
    <col min="2047" max="2047" width="36.5703125" style="263" customWidth="1"/>
    <col min="2048" max="2293" width="9.140625" style="263"/>
    <col min="2294" max="2294" width="4.7109375" style="263" customWidth="1"/>
    <col min="2295" max="2295" width="30.7109375" style="263" customWidth="1"/>
    <col min="2296" max="2296" width="4.7109375" style="263" customWidth="1"/>
    <col min="2297" max="2297" width="13.7109375" style="263" customWidth="1"/>
    <col min="2298" max="2300" width="12.7109375" style="263" customWidth="1"/>
    <col min="2301" max="2301" width="9.140625" style="263"/>
    <col min="2302" max="2302" width="21" style="263" customWidth="1"/>
    <col min="2303" max="2303" width="36.5703125" style="263" customWidth="1"/>
    <col min="2304" max="2549" width="9.140625" style="263"/>
    <col min="2550" max="2550" width="4.7109375" style="263" customWidth="1"/>
    <col min="2551" max="2551" width="30.7109375" style="263" customWidth="1"/>
    <col min="2552" max="2552" width="4.7109375" style="263" customWidth="1"/>
    <col min="2553" max="2553" width="13.7109375" style="263" customWidth="1"/>
    <col min="2554" max="2556" width="12.7109375" style="263" customWidth="1"/>
    <col min="2557" max="2557" width="9.140625" style="263"/>
    <col min="2558" max="2558" width="21" style="263" customWidth="1"/>
    <col min="2559" max="2559" width="36.5703125" style="263" customWidth="1"/>
    <col min="2560" max="2805" width="9.140625" style="263"/>
    <col min="2806" max="2806" width="4.7109375" style="263" customWidth="1"/>
    <col min="2807" max="2807" width="30.7109375" style="263" customWidth="1"/>
    <col min="2808" max="2808" width="4.7109375" style="263" customWidth="1"/>
    <col min="2809" max="2809" width="13.7109375" style="263" customWidth="1"/>
    <col min="2810" max="2812" width="12.7109375" style="263" customWidth="1"/>
    <col min="2813" max="2813" width="9.140625" style="263"/>
    <col min="2814" max="2814" width="21" style="263" customWidth="1"/>
    <col min="2815" max="2815" width="36.5703125" style="263" customWidth="1"/>
    <col min="2816" max="3061" width="9.140625" style="263"/>
    <col min="3062" max="3062" width="4.7109375" style="263" customWidth="1"/>
    <col min="3063" max="3063" width="30.7109375" style="263" customWidth="1"/>
    <col min="3064" max="3064" width="4.7109375" style="263" customWidth="1"/>
    <col min="3065" max="3065" width="13.7109375" style="263" customWidth="1"/>
    <col min="3066" max="3068" width="12.7109375" style="263" customWidth="1"/>
    <col min="3069" max="3069" width="9.140625" style="263"/>
    <col min="3070" max="3070" width="21" style="263" customWidth="1"/>
    <col min="3071" max="3071" width="36.5703125" style="263" customWidth="1"/>
    <col min="3072" max="3317" width="9.140625" style="263"/>
    <col min="3318" max="3318" width="4.7109375" style="263" customWidth="1"/>
    <col min="3319" max="3319" width="30.7109375" style="263" customWidth="1"/>
    <col min="3320" max="3320" width="4.7109375" style="263" customWidth="1"/>
    <col min="3321" max="3321" width="13.7109375" style="263" customWidth="1"/>
    <col min="3322" max="3324" width="12.7109375" style="263" customWidth="1"/>
    <col min="3325" max="3325" width="9.140625" style="263"/>
    <col min="3326" max="3326" width="21" style="263" customWidth="1"/>
    <col min="3327" max="3327" width="36.5703125" style="263" customWidth="1"/>
    <col min="3328" max="3573" width="9.140625" style="263"/>
    <col min="3574" max="3574" width="4.7109375" style="263" customWidth="1"/>
    <col min="3575" max="3575" width="30.7109375" style="263" customWidth="1"/>
    <col min="3576" max="3576" width="4.7109375" style="263" customWidth="1"/>
    <col min="3577" max="3577" width="13.7109375" style="263" customWidth="1"/>
    <col min="3578" max="3580" width="12.7109375" style="263" customWidth="1"/>
    <col min="3581" max="3581" width="9.140625" style="263"/>
    <col min="3582" max="3582" width="21" style="263" customWidth="1"/>
    <col min="3583" max="3583" width="36.5703125" style="263" customWidth="1"/>
    <col min="3584" max="3829" width="9.140625" style="263"/>
    <col min="3830" max="3830" width="4.7109375" style="263" customWidth="1"/>
    <col min="3831" max="3831" width="30.7109375" style="263" customWidth="1"/>
    <col min="3832" max="3832" width="4.7109375" style="263" customWidth="1"/>
    <col min="3833" max="3833" width="13.7109375" style="263" customWidth="1"/>
    <col min="3834" max="3836" width="12.7109375" style="263" customWidth="1"/>
    <col min="3837" max="3837" width="9.140625" style="263"/>
    <col min="3838" max="3838" width="21" style="263" customWidth="1"/>
    <col min="3839" max="3839" width="36.5703125" style="263" customWidth="1"/>
    <col min="3840" max="4085" width="9.140625" style="263"/>
    <col min="4086" max="4086" width="4.7109375" style="263" customWidth="1"/>
    <col min="4087" max="4087" width="30.7109375" style="263" customWidth="1"/>
    <col min="4088" max="4088" width="4.7109375" style="263" customWidth="1"/>
    <col min="4089" max="4089" width="13.7109375" style="263" customWidth="1"/>
    <col min="4090" max="4092" width="12.7109375" style="263" customWidth="1"/>
    <col min="4093" max="4093" width="9.140625" style="263"/>
    <col min="4094" max="4094" width="21" style="263" customWidth="1"/>
    <col min="4095" max="4095" width="36.5703125" style="263" customWidth="1"/>
    <col min="4096" max="4341" width="9.140625" style="263"/>
    <col min="4342" max="4342" width="4.7109375" style="263" customWidth="1"/>
    <col min="4343" max="4343" width="30.7109375" style="263" customWidth="1"/>
    <col min="4344" max="4344" width="4.7109375" style="263" customWidth="1"/>
    <col min="4345" max="4345" width="13.7109375" style="263" customWidth="1"/>
    <col min="4346" max="4348" width="12.7109375" style="263" customWidth="1"/>
    <col min="4349" max="4349" width="9.140625" style="263"/>
    <col min="4350" max="4350" width="21" style="263" customWidth="1"/>
    <col min="4351" max="4351" width="36.5703125" style="263" customWidth="1"/>
    <col min="4352" max="4597" width="9.140625" style="263"/>
    <col min="4598" max="4598" width="4.7109375" style="263" customWidth="1"/>
    <col min="4599" max="4599" width="30.7109375" style="263" customWidth="1"/>
    <col min="4600" max="4600" width="4.7109375" style="263" customWidth="1"/>
    <col min="4601" max="4601" width="13.7109375" style="263" customWidth="1"/>
    <col min="4602" max="4604" width="12.7109375" style="263" customWidth="1"/>
    <col min="4605" max="4605" width="9.140625" style="263"/>
    <col min="4606" max="4606" width="21" style="263" customWidth="1"/>
    <col min="4607" max="4607" width="36.5703125" style="263" customWidth="1"/>
    <col min="4608" max="4853" width="9.140625" style="263"/>
    <col min="4854" max="4854" width="4.7109375" style="263" customWidth="1"/>
    <col min="4855" max="4855" width="30.7109375" style="263" customWidth="1"/>
    <col min="4856" max="4856" width="4.7109375" style="263" customWidth="1"/>
    <col min="4857" max="4857" width="13.7109375" style="263" customWidth="1"/>
    <col min="4858" max="4860" width="12.7109375" style="263" customWidth="1"/>
    <col min="4861" max="4861" width="9.140625" style="263"/>
    <col min="4862" max="4862" width="21" style="263" customWidth="1"/>
    <col min="4863" max="4863" width="36.5703125" style="263" customWidth="1"/>
    <col min="4864" max="5109" width="9.140625" style="263"/>
    <col min="5110" max="5110" width="4.7109375" style="263" customWidth="1"/>
    <col min="5111" max="5111" width="30.7109375" style="263" customWidth="1"/>
    <col min="5112" max="5112" width="4.7109375" style="263" customWidth="1"/>
    <col min="5113" max="5113" width="13.7109375" style="263" customWidth="1"/>
    <col min="5114" max="5116" width="12.7109375" style="263" customWidth="1"/>
    <col min="5117" max="5117" width="9.140625" style="263"/>
    <col min="5118" max="5118" width="21" style="263" customWidth="1"/>
    <col min="5119" max="5119" width="36.5703125" style="263" customWidth="1"/>
    <col min="5120" max="5365" width="9.140625" style="263"/>
    <col min="5366" max="5366" width="4.7109375" style="263" customWidth="1"/>
    <col min="5367" max="5367" width="30.7109375" style="263" customWidth="1"/>
    <col min="5368" max="5368" width="4.7109375" style="263" customWidth="1"/>
    <col min="5369" max="5369" width="13.7109375" style="263" customWidth="1"/>
    <col min="5370" max="5372" width="12.7109375" style="263" customWidth="1"/>
    <col min="5373" max="5373" width="9.140625" style="263"/>
    <col min="5374" max="5374" width="21" style="263" customWidth="1"/>
    <col min="5375" max="5375" width="36.5703125" style="263" customWidth="1"/>
    <col min="5376" max="5621" width="9.140625" style="263"/>
    <col min="5622" max="5622" width="4.7109375" style="263" customWidth="1"/>
    <col min="5623" max="5623" width="30.7109375" style="263" customWidth="1"/>
    <col min="5624" max="5624" width="4.7109375" style="263" customWidth="1"/>
    <col min="5625" max="5625" width="13.7109375" style="263" customWidth="1"/>
    <col min="5626" max="5628" width="12.7109375" style="263" customWidth="1"/>
    <col min="5629" max="5629" width="9.140625" style="263"/>
    <col min="5630" max="5630" width="21" style="263" customWidth="1"/>
    <col min="5631" max="5631" width="36.5703125" style="263" customWidth="1"/>
    <col min="5632" max="5877" width="9.140625" style="263"/>
    <col min="5878" max="5878" width="4.7109375" style="263" customWidth="1"/>
    <col min="5879" max="5879" width="30.7109375" style="263" customWidth="1"/>
    <col min="5880" max="5880" width="4.7109375" style="263" customWidth="1"/>
    <col min="5881" max="5881" width="13.7109375" style="263" customWidth="1"/>
    <col min="5882" max="5884" width="12.7109375" style="263" customWidth="1"/>
    <col min="5885" max="5885" width="9.140625" style="263"/>
    <col min="5886" max="5886" width="21" style="263" customWidth="1"/>
    <col min="5887" max="5887" width="36.5703125" style="263" customWidth="1"/>
    <col min="5888" max="6133" width="9.140625" style="263"/>
    <col min="6134" max="6134" width="4.7109375" style="263" customWidth="1"/>
    <col min="6135" max="6135" width="30.7109375" style="263" customWidth="1"/>
    <col min="6136" max="6136" width="4.7109375" style="263" customWidth="1"/>
    <col min="6137" max="6137" width="13.7109375" style="263" customWidth="1"/>
    <col min="6138" max="6140" width="12.7109375" style="263" customWidth="1"/>
    <col min="6141" max="6141" width="9.140625" style="263"/>
    <col min="6142" max="6142" width="21" style="263" customWidth="1"/>
    <col min="6143" max="6143" width="36.5703125" style="263" customWidth="1"/>
    <col min="6144" max="6389" width="9.140625" style="263"/>
    <col min="6390" max="6390" width="4.7109375" style="263" customWidth="1"/>
    <col min="6391" max="6391" width="30.7109375" style="263" customWidth="1"/>
    <col min="6392" max="6392" width="4.7109375" style="263" customWidth="1"/>
    <col min="6393" max="6393" width="13.7109375" style="263" customWidth="1"/>
    <col min="6394" max="6396" width="12.7109375" style="263" customWidth="1"/>
    <col min="6397" max="6397" width="9.140625" style="263"/>
    <col min="6398" max="6398" width="21" style="263" customWidth="1"/>
    <col min="6399" max="6399" width="36.5703125" style="263" customWidth="1"/>
    <col min="6400" max="6645" width="9.140625" style="263"/>
    <col min="6646" max="6646" width="4.7109375" style="263" customWidth="1"/>
    <col min="6647" max="6647" width="30.7109375" style="263" customWidth="1"/>
    <col min="6648" max="6648" width="4.7109375" style="263" customWidth="1"/>
    <col min="6649" max="6649" width="13.7109375" style="263" customWidth="1"/>
    <col min="6650" max="6652" width="12.7109375" style="263" customWidth="1"/>
    <col min="6653" max="6653" width="9.140625" style="263"/>
    <col min="6654" max="6654" width="21" style="263" customWidth="1"/>
    <col min="6655" max="6655" width="36.5703125" style="263" customWidth="1"/>
    <col min="6656" max="6901" width="9.140625" style="263"/>
    <col min="6902" max="6902" width="4.7109375" style="263" customWidth="1"/>
    <col min="6903" max="6903" width="30.7109375" style="263" customWidth="1"/>
    <col min="6904" max="6904" width="4.7109375" style="263" customWidth="1"/>
    <col min="6905" max="6905" width="13.7109375" style="263" customWidth="1"/>
    <col min="6906" max="6908" width="12.7109375" style="263" customWidth="1"/>
    <col min="6909" max="6909" width="9.140625" style="263"/>
    <col min="6910" max="6910" width="21" style="263" customWidth="1"/>
    <col min="6911" max="6911" width="36.5703125" style="263" customWidth="1"/>
    <col min="6912" max="7157" width="9.140625" style="263"/>
    <col min="7158" max="7158" width="4.7109375" style="263" customWidth="1"/>
    <col min="7159" max="7159" width="30.7109375" style="263" customWidth="1"/>
    <col min="7160" max="7160" width="4.7109375" style="263" customWidth="1"/>
    <col min="7161" max="7161" width="13.7109375" style="263" customWidth="1"/>
    <col min="7162" max="7164" width="12.7109375" style="263" customWidth="1"/>
    <col min="7165" max="7165" width="9.140625" style="263"/>
    <col min="7166" max="7166" width="21" style="263" customWidth="1"/>
    <col min="7167" max="7167" width="36.5703125" style="263" customWidth="1"/>
    <col min="7168" max="7413" width="9.140625" style="263"/>
    <col min="7414" max="7414" width="4.7109375" style="263" customWidth="1"/>
    <col min="7415" max="7415" width="30.7109375" style="263" customWidth="1"/>
    <col min="7416" max="7416" width="4.7109375" style="263" customWidth="1"/>
    <col min="7417" max="7417" width="13.7109375" style="263" customWidth="1"/>
    <col min="7418" max="7420" width="12.7109375" style="263" customWidth="1"/>
    <col min="7421" max="7421" width="9.140625" style="263"/>
    <col min="7422" max="7422" width="21" style="263" customWidth="1"/>
    <col min="7423" max="7423" width="36.5703125" style="263" customWidth="1"/>
    <col min="7424" max="7669" width="9.140625" style="263"/>
    <col min="7670" max="7670" width="4.7109375" style="263" customWidth="1"/>
    <col min="7671" max="7671" width="30.7109375" style="263" customWidth="1"/>
    <col min="7672" max="7672" width="4.7109375" style="263" customWidth="1"/>
    <col min="7673" max="7673" width="13.7109375" style="263" customWidth="1"/>
    <col min="7674" max="7676" width="12.7109375" style="263" customWidth="1"/>
    <col min="7677" max="7677" width="9.140625" style="263"/>
    <col min="7678" max="7678" width="21" style="263" customWidth="1"/>
    <col min="7679" max="7679" width="36.5703125" style="263" customWidth="1"/>
    <col min="7680" max="7925" width="9.140625" style="263"/>
    <col min="7926" max="7926" width="4.7109375" style="263" customWidth="1"/>
    <col min="7927" max="7927" width="30.7109375" style="263" customWidth="1"/>
    <col min="7928" max="7928" width="4.7109375" style="263" customWidth="1"/>
    <col min="7929" max="7929" width="13.7109375" style="263" customWidth="1"/>
    <col min="7930" max="7932" width="12.7109375" style="263" customWidth="1"/>
    <col min="7933" max="7933" width="9.140625" style="263"/>
    <col min="7934" max="7934" width="21" style="263" customWidth="1"/>
    <col min="7935" max="7935" width="36.5703125" style="263" customWidth="1"/>
    <col min="7936" max="8181" width="9.140625" style="263"/>
    <col min="8182" max="8182" width="4.7109375" style="263" customWidth="1"/>
    <col min="8183" max="8183" width="30.7109375" style="263" customWidth="1"/>
    <col min="8184" max="8184" width="4.7109375" style="263" customWidth="1"/>
    <col min="8185" max="8185" width="13.7109375" style="263" customWidth="1"/>
    <col min="8186" max="8188" width="12.7109375" style="263" customWidth="1"/>
    <col min="8189" max="8189" width="9.140625" style="263"/>
    <col min="8190" max="8190" width="21" style="263" customWidth="1"/>
    <col min="8191" max="8191" width="36.5703125" style="263" customWidth="1"/>
    <col min="8192" max="8437" width="9.140625" style="263"/>
    <col min="8438" max="8438" width="4.7109375" style="263" customWidth="1"/>
    <col min="8439" max="8439" width="30.7109375" style="263" customWidth="1"/>
    <col min="8440" max="8440" width="4.7109375" style="263" customWidth="1"/>
    <col min="8441" max="8441" width="13.7109375" style="263" customWidth="1"/>
    <col min="8442" max="8444" width="12.7109375" style="263" customWidth="1"/>
    <col min="8445" max="8445" width="9.140625" style="263"/>
    <col min="8446" max="8446" width="21" style="263" customWidth="1"/>
    <col min="8447" max="8447" width="36.5703125" style="263" customWidth="1"/>
    <col min="8448" max="8693" width="9.140625" style="263"/>
    <col min="8694" max="8694" width="4.7109375" style="263" customWidth="1"/>
    <col min="8695" max="8695" width="30.7109375" style="263" customWidth="1"/>
    <col min="8696" max="8696" width="4.7109375" style="263" customWidth="1"/>
    <col min="8697" max="8697" width="13.7109375" style="263" customWidth="1"/>
    <col min="8698" max="8700" width="12.7109375" style="263" customWidth="1"/>
    <col min="8701" max="8701" width="9.140625" style="263"/>
    <col min="8702" max="8702" width="21" style="263" customWidth="1"/>
    <col min="8703" max="8703" width="36.5703125" style="263" customWidth="1"/>
    <col min="8704" max="8949" width="9.140625" style="263"/>
    <col min="8950" max="8950" width="4.7109375" style="263" customWidth="1"/>
    <col min="8951" max="8951" width="30.7109375" style="263" customWidth="1"/>
    <col min="8952" max="8952" width="4.7109375" style="263" customWidth="1"/>
    <col min="8953" max="8953" width="13.7109375" style="263" customWidth="1"/>
    <col min="8954" max="8956" width="12.7109375" style="263" customWidth="1"/>
    <col min="8957" max="8957" width="9.140625" style="263"/>
    <col min="8958" max="8958" width="21" style="263" customWidth="1"/>
    <col min="8959" max="8959" width="36.5703125" style="263" customWidth="1"/>
    <col min="8960" max="9205" width="9.140625" style="263"/>
    <col min="9206" max="9206" width="4.7109375" style="263" customWidth="1"/>
    <col min="9207" max="9207" width="30.7109375" style="263" customWidth="1"/>
    <col min="9208" max="9208" width="4.7109375" style="263" customWidth="1"/>
    <col min="9209" max="9209" width="13.7109375" style="263" customWidth="1"/>
    <col min="9210" max="9212" width="12.7109375" style="263" customWidth="1"/>
    <col min="9213" max="9213" width="9.140625" style="263"/>
    <col min="9214" max="9214" width="21" style="263" customWidth="1"/>
    <col min="9215" max="9215" width="36.5703125" style="263" customWidth="1"/>
    <col min="9216" max="9461" width="9.140625" style="263"/>
    <col min="9462" max="9462" width="4.7109375" style="263" customWidth="1"/>
    <col min="9463" max="9463" width="30.7109375" style="263" customWidth="1"/>
    <col min="9464" max="9464" width="4.7109375" style="263" customWidth="1"/>
    <col min="9465" max="9465" width="13.7109375" style="263" customWidth="1"/>
    <col min="9466" max="9468" width="12.7109375" style="263" customWidth="1"/>
    <col min="9469" max="9469" width="9.140625" style="263"/>
    <col min="9470" max="9470" width="21" style="263" customWidth="1"/>
    <col min="9471" max="9471" width="36.5703125" style="263" customWidth="1"/>
    <col min="9472" max="9717" width="9.140625" style="263"/>
    <col min="9718" max="9718" width="4.7109375" style="263" customWidth="1"/>
    <col min="9719" max="9719" width="30.7109375" style="263" customWidth="1"/>
    <col min="9720" max="9720" width="4.7109375" style="263" customWidth="1"/>
    <col min="9721" max="9721" width="13.7109375" style="263" customWidth="1"/>
    <col min="9722" max="9724" width="12.7109375" style="263" customWidth="1"/>
    <col min="9725" max="9725" width="9.140625" style="263"/>
    <col min="9726" max="9726" width="21" style="263" customWidth="1"/>
    <col min="9727" max="9727" width="36.5703125" style="263" customWidth="1"/>
    <col min="9728" max="9973" width="9.140625" style="263"/>
    <col min="9974" max="9974" width="4.7109375" style="263" customWidth="1"/>
    <col min="9975" max="9975" width="30.7109375" style="263" customWidth="1"/>
    <col min="9976" max="9976" width="4.7109375" style="263" customWidth="1"/>
    <col min="9977" max="9977" width="13.7109375" style="263" customWidth="1"/>
    <col min="9978" max="9980" width="12.7109375" style="263" customWidth="1"/>
    <col min="9981" max="9981" width="9.140625" style="263"/>
    <col min="9982" max="9982" width="21" style="263" customWidth="1"/>
    <col min="9983" max="9983" width="36.5703125" style="263" customWidth="1"/>
    <col min="9984" max="10229" width="9.140625" style="263"/>
    <col min="10230" max="10230" width="4.7109375" style="263" customWidth="1"/>
    <col min="10231" max="10231" width="30.7109375" style="263" customWidth="1"/>
    <col min="10232" max="10232" width="4.7109375" style="263" customWidth="1"/>
    <col min="10233" max="10233" width="13.7109375" style="263" customWidth="1"/>
    <col min="10234" max="10236" width="12.7109375" style="263" customWidth="1"/>
    <col min="10237" max="10237" width="9.140625" style="263"/>
    <col min="10238" max="10238" width="21" style="263" customWidth="1"/>
    <col min="10239" max="10239" width="36.5703125" style="263" customWidth="1"/>
    <col min="10240" max="10485" width="9.140625" style="263"/>
    <col min="10486" max="10486" width="4.7109375" style="263" customWidth="1"/>
    <col min="10487" max="10487" width="30.7109375" style="263" customWidth="1"/>
    <col min="10488" max="10488" width="4.7109375" style="263" customWidth="1"/>
    <col min="10489" max="10489" width="13.7109375" style="263" customWidth="1"/>
    <col min="10490" max="10492" width="12.7109375" style="263" customWidth="1"/>
    <col min="10493" max="10493" width="9.140625" style="263"/>
    <col min="10494" max="10494" width="21" style="263" customWidth="1"/>
    <col min="10495" max="10495" width="36.5703125" style="263" customWidth="1"/>
    <col min="10496" max="10741" width="9.140625" style="263"/>
    <col min="10742" max="10742" width="4.7109375" style="263" customWidth="1"/>
    <col min="10743" max="10743" width="30.7109375" style="263" customWidth="1"/>
    <col min="10744" max="10744" width="4.7109375" style="263" customWidth="1"/>
    <col min="10745" max="10745" width="13.7109375" style="263" customWidth="1"/>
    <col min="10746" max="10748" width="12.7109375" style="263" customWidth="1"/>
    <col min="10749" max="10749" width="9.140625" style="263"/>
    <col min="10750" max="10750" width="21" style="263" customWidth="1"/>
    <col min="10751" max="10751" width="36.5703125" style="263" customWidth="1"/>
    <col min="10752" max="10997" width="9.140625" style="263"/>
    <col min="10998" max="10998" width="4.7109375" style="263" customWidth="1"/>
    <col min="10999" max="10999" width="30.7109375" style="263" customWidth="1"/>
    <col min="11000" max="11000" width="4.7109375" style="263" customWidth="1"/>
    <col min="11001" max="11001" width="13.7109375" style="263" customWidth="1"/>
    <col min="11002" max="11004" width="12.7109375" style="263" customWidth="1"/>
    <col min="11005" max="11005" width="9.140625" style="263"/>
    <col min="11006" max="11006" width="21" style="263" customWidth="1"/>
    <col min="11007" max="11007" width="36.5703125" style="263" customWidth="1"/>
    <col min="11008" max="11253" width="9.140625" style="263"/>
    <col min="11254" max="11254" width="4.7109375" style="263" customWidth="1"/>
    <col min="11255" max="11255" width="30.7109375" style="263" customWidth="1"/>
    <col min="11256" max="11256" width="4.7109375" style="263" customWidth="1"/>
    <col min="11257" max="11257" width="13.7109375" style="263" customWidth="1"/>
    <col min="11258" max="11260" width="12.7109375" style="263" customWidth="1"/>
    <col min="11261" max="11261" width="9.140625" style="263"/>
    <col min="11262" max="11262" width="21" style="263" customWidth="1"/>
    <col min="11263" max="11263" width="36.5703125" style="263" customWidth="1"/>
    <col min="11264" max="11509" width="9.140625" style="263"/>
    <col min="11510" max="11510" width="4.7109375" style="263" customWidth="1"/>
    <col min="11511" max="11511" width="30.7109375" style="263" customWidth="1"/>
    <col min="11512" max="11512" width="4.7109375" style="263" customWidth="1"/>
    <col min="11513" max="11513" width="13.7109375" style="263" customWidth="1"/>
    <col min="11514" max="11516" width="12.7109375" style="263" customWidth="1"/>
    <col min="11517" max="11517" width="9.140625" style="263"/>
    <col min="11518" max="11518" width="21" style="263" customWidth="1"/>
    <col min="11519" max="11519" width="36.5703125" style="263" customWidth="1"/>
    <col min="11520" max="11765" width="9.140625" style="263"/>
    <col min="11766" max="11766" width="4.7109375" style="263" customWidth="1"/>
    <col min="11767" max="11767" width="30.7109375" style="263" customWidth="1"/>
    <col min="11768" max="11768" width="4.7109375" style="263" customWidth="1"/>
    <col min="11769" max="11769" width="13.7109375" style="263" customWidth="1"/>
    <col min="11770" max="11772" width="12.7109375" style="263" customWidth="1"/>
    <col min="11773" max="11773" width="9.140625" style="263"/>
    <col min="11774" max="11774" width="21" style="263" customWidth="1"/>
    <col min="11775" max="11775" width="36.5703125" style="263" customWidth="1"/>
    <col min="11776" max="12021" width="9.140625" style="263"/>
    <col min="12022" max="12022" width="4.7109375" style="263" customWidth="1"/>
    <col min="12023" max="12023" width="30.7109375" style="263" customWidth="1"/>
    <col min="12024" max="12024" width="4.7109375" style="263" customWidth="1"/>
    <col min="12025" max="12025" width="13.7109375" style="263" customWidth="1"/>
    <col min="12026" max="12028" width="12.7109375" style="263" customWidth="1"/>
    <col min="12029" max="12029" width="9.140625" style="263"/>
    <col min="12030" max="12030" width="21" style="263" customWidth="1"/>
    <col min="12031" max="12031" width="36.5703125" style="263" customWidth="1"/>
    <col min="12032" max="12277" width="9.140625" style="263"/>
    <col min="12278" max="12278" width="4.7109375" style="263" customWidth="1"/>
    <col min="12279" max="12279" width="30.7109375" style="263" customWidth="1"/>
    <col min="12280" max="12280" width="4.7109375" style="263" customWidth="1"/>
    <col min="12281" max="12281" width="13.7109375" style="263" customWidth="1"/>
    <col min="12282" max="12284" width="12.7109375" style="263" customWidth="1"/>
    <col min="12285" max="12285" width="9.140625" style="263"/>
    <col min="12286" max="12286" width="21" style="263" customWidth="1"/>
    <col min="12287" max="12287" width="36.5703125" style="263" customWidth="1"/>
    <col min="12288" max="12533" width="9.140625" style="263"/>
    <col min="12534" max="12534" width="4.7109375" style="263" customWidth="1"/>
    <col min="12535" max="12535" width="30.7109375" style="263" customWidth="1"/>
    <col min="12536" max="12536" width="4.7109375" style="263" customWidth="1"/>
    <col min="12537" max="12537" width="13.7109375" style="263" customWidth="1"/>
    <col min="12538" max="12540" width="12.7109375" style="263" customWidth="1"/>
    <col min="12541" max="12541" width="9.140625" style="263"/>
    <col min="12542" max="12542" width="21" style="263" customWidth="1"/>
    <col min="12543" max="12543" width="36.5703125" style="263" customWidth="1"/>
    <col min="12544" max="12789" width="9.140625" style="263"/>
    <col min="12790" max="12790" width="4.7109375" style="263" customWidth="1"/>
    <col min="12791" max="12791" width="30.7109375" style="263" customWidth="1"/>
    <col min="12792" max="12792" width="4.7109375" style="263" customWidth="1"/>
    <col min="12793" max="12793" width="13.7109375" style="263" customWidth="1"/>
    <col min="12794" max="12796" width="12.7109375" style="263" customWidth="1"/>
    <col min="12797" max="12797" width="9.140625" style="263"/>
    <col min="12798" max="12798" width="21" style="263" customWidth="1"/>
    <col min="12799" max="12799" width="36.5703125" style="263" customWidth="1"/>
    <col min="12800" max="13045" width="9.140625" style="263"/>
    <col min="13046" max="13046" width="4.7109375" style="263" customWidth="1"/>
    <col min="13047" max="13047" width="30.7109375" style="263" customWidth="1"/>
    <col min="13048" max="13048" width="4.7109375" style="263" customWidth="1"/>
    <col min="13049" max="13049" width="13.7109375" style="263" customWidth="1"/>
    <col min="13050" max="13052" width="12.7109375" style="263" customWidth="1"/>
    <col min="13053" max="13053" width="9.140625" style="263"/>
    <col min="13054" max="13054" width="21" style="263" customWidth="1"/>
    <col min="13055" max="13055" width="36.5703125" style="263" customWidth="1"/>
    <col min="13056" max="13301" width="9.140625" style="263"/>
    <col min="13302" max="13302" width="4.7109375" style="263" customWidth="1"/>
    <col min="13303" max="13303" width="30.7109375" style="263" customWidth="1"/>
    <col min="13304" max="13304" width="4.7109375" style="263" customWidth="1"/>
    <col min="13305" max="13305" width="13.7109375" style="263" customWidth="1"/>
    <col min="13306" max="13308" width="12.7109375" style="263" customWidth="1"/>
    <col min="13309" max="13309" width="9.140625" style="263"/>
    <col min="13310" max="13310" width="21" style="263" customWidth="1"/>
    <col min="13311" max="13311" width="36.5703125" style="263" customWidth="1"/>
    <col min="13312" max="13557" width="9.140625" style="263"/>
    <col min="13558" max="13558" width="4.7109375" style="263" customWidth="1"/>
    <col min="13559" max="13559" width="30.7109375" style="263" customWidth="1"/>
    <col min="13560" max="13560" width="4.7109375" style="263" customWidth="1"/>
    <col min="13561" max="13561" width="13.7109375" style="263" customWidth="1"/>
    <col min="13562" max="13564" width="12.7109375" style="263" customWidth="1"/>
    <col min="13565" max="13565" width="9.140625" style="263"/>
    <col min="13566" max="13566" width="21" style="263" customWidth="1"/>
    <col min="13567" max="13567" width="36.5703125" style="263" customWidth="1"/>
    <col min="13568" max="13813" width="9.140625" style="263"/>
    <col min="13814" max="13814" width="4.7109375" style="263" customWidth="1"/>
    <col min="13815" max="13815" width="30.7109375" style="263" customWidth="1"/>
    <col min="13816" max="13816" width="4.7109375" style="263" customWidth="1"/>
    <col min="13817" max="13817" width="13.7109375" style="263" customWidth="1"/>
    <col min="13818" max="13820" width="12.7109375" style="263" customWidth="1"/>
    <col min="13821" max="13821" width="9.140625" style="263"/>
    <col min="13822" max="13822" width="21" style="263" customWidth="1"/>
    <col min="13823" max="13823" width="36.5703125" style="263" customWidth="1"/>
    <col min="13824" max="14069" width="9.140625" style="263"/>
    <col min="14070" max="14070" width="4.7109375" style="263" customWidth="1"/>
    <col min="14071" max="14071" width="30.7109375" style="263" customWidth="1"/>
    <col min="14072" max="14072" width="4.7109375" style="263" customWidth="1"/>
    <col min="14073" max="14073" width="13.7109375" style="263" customWidth="1"/>
    <col min="14074" max="14076" width="12.7109375" style="263" customWidth="1"/>
    <col min="14077" max="14077" width="9.140625" style="263"/>
    <col min="14078" max="14078" width="21" style="263" customWidth="1"/>
    <col min="14079" max="14079" width="36.5703125" style="263" customWidth="1"/>
    <col min="14080" max="14325" width="9.140625" style="263"/>
    <col min="14326" max="14326" width="4.7109375" style="263" customWidth="1"/>
    <col min="14327" max="14327" width="30.7109375" style="263" customWidth="1"/>
    <col min="14328" max="14328" width="4.7109375" style="263" customWidth="1"/>
    <col min="14329" max="14329" width="13.7109375" style="263" customWidth="1"/>
    <col min="14330" max="14332" width="12.7109375" style="263" customWidth="1"/>
    <col min="14333" max="14333" width="9.140625" style="263"/>
    <col min="14334" max="14334" width="21" style="263" customWidth="1"/>
    <col min="14335" max="14335" width="36.5703125" style="263" customWidth="1"/>
    <col min="14336" max="14581" width="9.140625" style="263"/>
    <col min="14582" max="14582" width="4.7109375" style="263" customWidth="1"/>
    <col min="14583" max="14583" width="30.7109375" style="263" customWidth="1"/>
    <col min="14584" max="14584" width="4.7109375" style="263" customWidth="1"/>
    <col min="14585" max="14585" width="13.7109375" style="263" customWidth="1"/>
    <col min="14586" max="14588" width="12.7109375" style="263" customWidth="1"/>
    <col min="14589" max="14589" width="9.140625" style="263"/>
    <col min="14590" max="14590" width="21" style="263" customWidth="1"/>
    <col min="14591" max="14591" width="36.5703125" style="263" customWidth="1"/>
    <col min="14592" max="14837" width="9.140625" style="263"/>
    <col min="14838" max="14838" width="4.7109375" style="263" customWidth="1"/>
    <col min="14839" max="14839" width="30.7109375" style="263" customWidth="1"/>
    <col min="14840" max="14840" width="4.7109375" style="263" customWidth="1"/>
    <col min="14841" max="14841" width="13.7109375" style="263" customWidth="1"/>
    <col min="14842" max="14844" width="12.7109375" style="263" customWidth="1"/>
    <col min="14845" max="14845" width="9.140625" style="263"/>
    <col min="14846" max="14846" width="21" style="263" customWidth="1"/>
    <col min="14847" max="14847" width="36.5703125" style="263" customWidth="1"/>
    <col min="14848" max="15093" width="9.140625" style="263"/>
    <col min="15094" max="15094" width="4.7109375" style="263" customWidth="1"/>
    <col min="15095" max="15095" width="30.7109375" style="263" customWidth="1"/>
    <col min="15096" max="15096" width="4.7109375" style="263" customWidth="1"/>
    <col min="15097" max="15097" width="13.7109375" style="263" customWidth="1"/>
    <col min="15098" max="15100" width="12.7109375" style="263" customWidth="1"/>
    <col min="15101" max="15101" width="9.140625" style="263"/>
    <col min="15102" max="15102" width="21" style="263" customWidth="1"/>
    <col min="15103" max="15103" width="36.5703125" style="263" customWidth="1"/>
    <col min="15104" max="15349" width="9.140625" style="263"/>
    <col min="15350" max="15350" width="4.7109375" style="263" customWidth="1"/>
    <col min="15351" max="15351" width="30.7109375" style="263" customWidth="1"/>
    <col min="15352" max="15352" width="4.7109375" style="263" customWidth="1"/>
    <col min="15353" max="15353" width="13.7109375" style="263" customWidth="1"/>
    <col min="15354" max="15356" width="12.7109375" style="263" customWidth="1"/>
    <col min="15357" max="15357" width="9.140625" style="263"/>
    <col min="15358" max="15358" width="21" style="263" customWidth="1"/>
    <col min="15359" max="15359" width="36.5703125" style="263" customWidth="1"/>
    <col min="15360" max="15605" width="9.140625" style="263"/>
    <col min="15606" max="15606" width="4.7109375" style="263" customWidth="1"/>
    <col min="15607" max="15607" width="30.7109375" style="263" customWidth="1"/>
    <col min="15608" max="15608" width="4.7109375" style="263" customWidth="1"/>
    <col min="15609" max="15609" width="13.7109375" style="263" customWidth="1"/>
    <col min="15610" max="15612" width="12.7109375" style="263" customWidth="1"/>
    <col min="15613" max="15613" width="9.140625" style="263"/>
    <col min="15614" max="15614" width="21" style="263" customWidth="1"/>
    <col min="15615" max="15615" width="36.5703125" style="263" customWidth="1"/>
    <col min="15616" max="15861" width="9.140625" style="263"/>
    <col min="15862" max="15862" width="4.7109375" style="263" customWidth="1"/>
    <col min="15863" max="15863" width="30.7109375" style="263" customWidth="1"/>
    <col min="15864" max="15864" width="4.7109375" style="263" customWidth="1"/>
    <col min="15865" max="15865" width="13.7109375" style="263" customWidth="1"/>
    <col min="15866" max="15868" width="12.7109375" style="263" customWidth="1"/>
    <col min="15869" max="15869" width="9.140625" style="263"/>
    <col min="15870" max="15870" width="21" style="263" customWidth="1"/>
    <col min="15871" max="15871" width="36.5703125" style="263" customWidth="1"/>
    <col min="15872" max="16117" width="9.140625" style="263"/>
    <col min="16118" max="16118" width="4.7109375" style="263" customWidth="1"/>
    <col min="16119" max="16119" width="30.7109375" style="263" customWidth="1"/>
    <col min="16120" max="16120" width="4.7109375" style="263" customWidth="1"/>
    <col min="16121" max="16121" width="13.7109375" style="263" customWidth="1"/>
    <col min="16122" max="16124" width="12.7109375" style="263" customWidth="1"/>
    <col min="16125" max="16125" width="9.140625" style="263"/>
    <col min="16126" max="16126" width="21" style="263" customWidth="1"/>
    <col min="16127" max="16127" width="36.5703125" style="263" customWidth="1"/>
    <col min="16128" max="16384" width="9.140625" style="263"/>
  </cols>
  <sheetData>
    <row r="1" spans="1:6">
      <c r="B1" s="276" t="s">
        <v>27</v>
      </c>
    </row>
    <row r="2" spans="1:6">
      <c r="B2" s="276" t="s">
        <v>28</v>
      </c>
    </row>
    <row r="3" spans="1:6">
      <c r="B3" s="277" t="s">
        <v>29</v>
      </c>
    </row>
    <row r="5" spans="1:6" ht="15.75">
      <c r="A5" s="22" t="s">
        <v>207</v>
      </c>
      <c r="B5" s="129" t="s">
        <v>272</v>
      </c>
      <c r="C5" s="287"/>
    </row>
    <row r="6" spans="1:6" ht="15.75">
      <c r="A6" s="22"/>
      <c r="B6" s="129"/>
      <c r="C6" s="287"/>
    </row>
    <row r="7" spans="1:6" s="275" customFormat="1" ht="15.75">
      <c r="A7" s="368" t="s">
        <v>275</v>
      </c>
      <c r="B7" s="369" t="s">
        <v>169</v>
      </c>
      <c r="C7" s="284"/>
      <c r="D7" s="401"/>
      <c r="E7" s="402"/>
      <c r="F7" s="473"/>
    </row>
    <row r="8" spans="1:6" s="306" customFormat="1" ht="15.75">
      <c r="A8" s="22"/>
      <c r="B8" s="287"/>
      <c r="C8" s="24"/>
      <c r="D8" s="359"/>
      <c r="E8" s="359"/>
      <c r="F8" s="473"/>
    </row>
    <row r="9" spans="1:6" s="306" customFormat="1" ht="15.75">
      <c r="A9" s="22" t="s">
        <v>200</v>
      </c>
      <c r="B9" s="332" t="s">
        <v>274</v>
      </c>
      <c r="C9" s="24"/>
      <c r="D9" s="359"/>
      <c r="E9" s="359"/>
      <c r="F9" s="473"/>
    </row>
    <row r="10" spans="1:6">
      <c r="A10" s="48"/>
      <c r="B10" s="60"/>
      <c r="C10" s="215"/>
    </row>
    <row r="11" spans="1:6" s="325" customFormat="1" ht="15">
      <c r="A11" s="339" t="s">
        <v>283</v>
      </c>
      <c r="B11" s="340" t="s">
        <v>284</v>
      </c>
      <c r="C11" s="341" t="s">
        <v>285</v>
      </c>
      <c r="D11" s="360" t="s">
        <v>286</v>
      </c>
      <c r="E11" s="403" t="s">
        <v>273</v>
      </c>
      <c r="F11" s="474" t="s">
        <v>470</v>
      </c>
    </row>
    <row r="12" spans="1:6" s="325" customFormat="1" ht="15">
      <c r="A12" s="404">
        <v>1</v>
      </c>
      <c r="B12" s="334" t="s">
        <v>287</v>
      </c>
      <c r="C12" s="405"/>
      <c r="D12" s="406"/>
      <c r="E12" s="406"/>
      <c r="F12" s="475"/>
    </row>
    <row r="13" spans="1:6" s="325" customFormat="1" ht="15">
      <c r="A13" s="407">
        <v>11</v>
      </c>
      <c r="B13" s="327" t="s">
        <v>288</v>
      </c>
      <c r="C13" s="327" t="s">
        <v>289</v>
      </c>
      <c r="D13" s="408">
        <v>210</v>
      </c>
      <c r="E13" s="353"/>
      <c r="F13" s="475">
        <f>D13*E13</f>
        <v>0</v>
      </c>
    </row>
    <row r="14" spans="1:6" s="325" customFormat="1" ht="24">
      <c r="A14" s="407">
        <v>12</v>
      </c>
      <c r="B14" s="327" t="s">
        <v>290</v>
      </c>
      <c r="C14" s="327" t="s">
        <v>289</v>
      </c>
      <c r="D14" s="409">
        <v>215</v>
      </c>
      <c r="E14" s="353"/>
      <c r="F14" s="475">
        <f>D14*E14</f>
        <v>0</v>
      </c>
    </row>
    <row r="15" spans="1:6" s="325" customFormat="1" ht="36">
      <c r="A15" s="407">
        <v>13</v>
      </c>
      <c r="B15" s="327" t="s">
        <v>291</v>
      </c>
      <c r="C15" s="327" t="s">
        <v>292</v>
      </c>
      <c r="D15" s="408">
        <v>1</v>
      </c>
      <c r="E15" s="353"/>
      <c r="F15" s="475">
        <f t="shared" ref="F15:F18" si="0">D15*E15</f>
        <v>0</v>
      </c>
    </row>
    <row r="16" spans="1:6" s="325" customFormat="1" ht="24">
      <c r="A16" s="407">
        <v>14</v>
      </c>
      <c r="B16" s="327" t="s">
        <v>293</v>
      </c>
      <c r="C16" s="327" t="s">
        <v>294</v>
      </c>
      <c r="D16" s="408">
        <v>230</v>
      </c>
      <c r="E16" s="408"/>
      <c r="F16" s="475">
        <f t="shared" si="0"/>
        <v>0</v>
      </c>
    </row>
    <row r="17" spans="1:6" s="325" customFormat="1" ht="15">
      <c r="A17" s="407">
        <v>15</v>
      </c>
      <c r="B17" s="327" t="s">
        <v>295</v>
      </c>
      <c r="C17" s="327" t="s">
        <v>289</v>
      </c>
      <c r="D17" s="408">
        <v>8</v>
      </c>
      <c r="E17" s="353"/>
      <c r="F17" s="475">
        <f t="shared" si="0"/>
        <v>0</v>
      </c>
    </row>
    <row r="18" spans="1:6" s="325" customFormat="1" ht="15">
      <c r="A18" s="407">
        <v>16</v>
      </c>
      <c r="B18" s="327" t="s">
        <v>296</v>
      </c>
      <c r="C18" s="327" t="s">
        <v>297</v>
      </c>
      <c r="D18" s="353">
        <v>1</v>
      </c>
      <c r="E18" s="353"/>
      <c r="F18" s="475">
        <f t="shared" si="0"/>
        <v>0</v>
      </c>
    </row>
    <row r="19" spans="1:6" s="325" customFormat="1" ht="15">
      <c r="A19" s="405"/>
      <c r="B19" s="405"/>
      <c r="C19" s="405"/>
      <c r="D19" s="406"/>
      <c r="E19" s="406">
        <v>0</v>
      </c>
      <c r="F19" s="475"/>
    </row>
    <row r="20" spans="1:6" s="325" customFormat="1" ht="15">
      <c r="A20" s="410" t="s">
        <v>200</v>
      </c>
      <c r="B20" s="411" t="s">
        <v>366</v>
      </c>
      <c r="C20" s="405"/>
      <c r="D20" s="406"/>
      <c r="E20" s="406">
        <v>0</v>
      </c>
      <c r="F20" s="476">
        <f>SUM(F13:F18)</f>
        <v>0</v>
      </c>
    </row>
    <row r="21" spans="1:6">
      <c r="A21" s="314"/>
      <c r="B21" s="335"/>
      <c r="C21" s="335"/>
      <c r="D21" s="343"/>
      <c r="E21" s="412">
        <v>0</v>
      </c>
      <c r="F21" s="477"/>
    </row>
    <row r="22" spans="1:6" ht="15.75">
      <c r="A22" s="336" t="s">
        <v>201</v>
      </c>
      <c r="B22" s="336" t="s">
        <v>277</v>
      </c>
      <c r="C22" s="335"/>
      <c r="D22" s="343"/>
      <c r="E22" s="412">
        <v>0</v>
      </c>
      <c r="F22" s="477"/>
    </row>
    <row r="23" spans="1:6">
      <c r="A23" s="314"/>
      <c r="B23" s="335"/>
      <c r="C23" s="335"/>
      <c r="D23" s="343"/>
      <c r="E23" s="412">
        <v>0</v>
      </c>
      <c r="F23" s="477"/>
    </row>
    <row r="24" spans="1:6" ht="15">
      <c r="A24" s="413">
        <v>1</v>
      </c>
      <c r="B24" s="337" t="s">
        <v>299</v>
      </c>
      <c r="C24" s="337"/>
      <c r="D24" s="361"/>
      <c r="E24" s="406">
        <v>0</v>
      </c>
      <c r="F24" s="478"/>
    </row>
    <row r="25" spans="1:6" ht="108">
      <c r="A25" s="414">
        <v>11</v>
      </c>
      <c r="B25" s="333" t="s">
        <v>300</v>
      </c>
      <c r="C25" s="333" t="s">
        <v>292</v>
      </c>
      <c r="D25" s="488">
        <v>1</v>
      </c>
      <c r="E25" s="489"/>
      <c r="F25" s="481">
        <f>D25*E25</f>
        <v>0</v>
      </c>
    </row>
    <row r="26" spans="1:6" ht="48">
      <c r="A26" s="414">
        <v>12</v>
      </c>
      <c r="B26" s="415" t="s">
        <v>301</v>
      </c>
      <c r="C26" s="333" t="s">
        <v>292</v>
      </c>
      <c r="D26" s="488">
        <v>1</v>
      </c>
      <c r="E26" s="489"/>
      <c r="F26" s="481">
        <f t="shared" ref="F26:F30" si="1">D26*E26</f>
        <v>0</v>
      </c>
    </row>
    <row r="27" spans="1:6" ht="72">
      <c r="A27" s="414">
        <v>13</v>
      </c>
      <c r="B27" s="415" t="s">
        <v>302</v>
      </c>
      <c r="C27" s="333" t="s">
        <v>292</v>
      </c>
      <c r="D27" s="488">
        <v>1</v>
      </c>
      <c r="E27" s="489"/>
      <c r="F27" s="481">
        <f t="shared" si="1"/>
        <v>0</v>
      </c>
    </row>
    <row r="28" spans="1:6" ht="24">
      <c r="A28" s="407">
        <v>14</v>
      </c>
      <c r="B28" s="333" t="s">
        <v>303</v>
      </c>
      <c r="C28" s="333" t="s">
        <v>297</v>
      </c>
      <c r="D28" s="488">
        <v>1</v>
      </c>
      <c r="E28" s="490"/>
      <c r="F28" s="481">
        <f t="shared" si="1"/>
        <v>0</v>
      </c>
    </row>
    <row r="29" spans="1:6" ht="45" customHeight="1">
      <c r="A29" s="407">
        <v>15</v>
      </c>
      <c r="B29" s="415" t="s">
        <v>304</v>
      </c>
      <c r="C29" s="333" t="s">
        <v>305</v>
      </c>
      <c r="D29" s="488">
        <v>1</v>
      </c>
      <c r="E29" s="490"/>
      <c r="F29" s="481">
        <f t="shared" si="1"/>
        <v>0</v>
      </c>
    </row>
    <row r="30" spans="1:6" ht="15">
      <c r="A30" s="416">
        <v>16</v>
      </c>
      <c r="B30" s="333" t="s">
        <v>306</v>
      </c>
      <c r="C30" s="338" t="s">
        <v>307</v>
      </c>
      <c r="D30" s="491">
        <v>8</v>
      </c>
      <c r="E30" s="490"/>
      <c r="F30" s="481">
        <f t="shared" si="1"/>
        <v>0</v>
      </c>
    </row>
    <row r="31" spans="1:6" ht="15">
      <c r="A31" s="416" t="s">
        <v>201</v>
      </c>
      <c r="B31" s="333" t="s">
        <v>308</v>
      </c>
      <c r="C31" s="415"/>
      <c r="D31" s="406"/>
      <c r="E31" s="412">
        <v>0</v>
      </c>
      <c r="F31" s="478">
        <f>SUM(F25:F30)</f>
        <v>0</v>
      </c>
    </row>
    <row r="32" spans="1:6" ht="15">
      <c r="A32" s="416"/>
      <c r="B32" s="327"/>
      <c r="C32" s="327"/>
      <c r="D32" s="406"/>
      <c r="E32" s="412">
        <v>0</v>
      </c>
      <c r="F32" s="478"/>
    </row>
    <row r="33" spans="1:6">
      <c r="F33" s="479"/>
    </row>
    <row r="34" spans="1:6" ht="15.75">
      <c r="A34" s="336" t="s">
        <v>278</v>
      </c>
      <c r="B34" s="336" t="s">
        <v>279</v>
      </c>
      <c r="F34" s="479"/>
    </row>
    <row r="35" spans="1:6" s="325" customFormat="1" ht="25.5">
      <c r="A35" s="344" t="s">
        <v>309</v>
      </c>
      <c r="B35" s="345" t="s">
        <v>310</v>
      </c>
      <c r="C35" s="346" t="s">
        <v>311</v>
      </c>
      <c r="D35" s="362" t="s">
        <v>312</v>
      </c>
      <c r="E35" s="417"/>
      <c r="F35" s="480"/>
    </row>
    <row r="36" spans="1:6" s="325" customFormat="1" ht="25.5">
      <c r="A36" s="418">
        <v>1</v>
      </c>
      <c r="B36" s="128" t="s">
        <v>313</v>
      </c>
      <c r="C36" s="338" t="s">
        <v>314</v>
      </c>
      <c r="D36" s="419">
        <v>1</v>
      </c>
      <c r="E36" s="490"/>
      <c r="F36" s="481">
        <f t="shared" ref="F36:F86" si="2">D36*E36</f>
        <v>0</v>
      </c>
    </row>
    <row r="37" spans="1:6" s="325" customFormat="1" ht="25.5">
      <c r="A37" s="418">
        <v>2</v>
      </c>
      <c r="B37" s="128" t="s">
        <v>315</v>
      </c>
      <c r="C37" s="338" t="s">
        <v>314</v>
      </c>
      <c r="D37" s="419">
        <v>1</v>
      </c>
      <c r="E37" s="490"/>
      <c r="F37" s="481">
        <f t="shared" si="2"/>
        <v>0</v>
      </c>
    </row>
    <row r="38" spans="1:6" s="325" customFormat="1" ht="25.5">
      <c r="A38" s="418">
        <v>3</v>
      </c>
      <c r="B38" s="128" t="s">
        <v>316</v>
      </c>
      <c r="C38" s="338" t="s">
        <v>317</v>
      </c>
      <c r="D38" s="419">
        <v>1</v>
      </c>
      <c r="E38" s="490"/>
      <c r="F38" s="481">
        <f t="shared" si="2"/>
        <v>0</v>
      </c>
    </row>
    <row r="39" spans="1:6" s="325" customFormat="1" ht="25.5">
      <c r="A39" s="418">
        <v>4</v>
      </c>
      <c r="B39" s="128" t="s">
        <v>318</v>
      </c>
      <c r="C39" s="338" t="s">
        <v>317</v>
      </c>
      <c r="D39" s="419">
        <v>3</v>
      </c>
      <c r="E39" s="490"/>
      <c r="F39" s="481">
        <f t="shared" si="2"/>
        <v>0</v>
      </c>
    </row>
    <row r="40" spans="1:6" s="325" customFormat="1" ht="38.25">
      <c r="A40" s="418">
        <v>5</v>
      </c>
      <c r="B40" s="405" t="s">
        <v>319</v>
      </c>
      <c r="C40" s="338" t="s">
        <v>317</v>
      </c>
      <c r="D40" s="419">
        <v>1</v>
      </c>
      <c r="E40" s="490"/>
      <c r="F40" s="481">
        <f t="shared" si="2"/>
        <v>0</v>
      </c>
    </row>
    <row r="41" spans="1:6" s="325" customFormat="1" ht="25.5">
      <c r="A41" s="418">
        <v>6</v>
      </c>
      <c r="B41" s="128" t="s">
        <v>320</v>
      </c>
      <c r="C41" s="338" t="s">
        <v>314</v>
      </c>
      <c r="D41" s="419">
        <v>1</v>
      </c>
      <c r="E41" s="490"/>
      <c r="F41" s="481">
        <f t="shared" si="2"/>
        <v>0</v>
      </c>
    </row>
    <row r="42" spans="1:6" s="325" customFormat="1" ht="15">
      <c r="A42" s="418">
        <v>7</v>
      </c>
      <c r="B42" s="128" t="s">
        <v>321</v>
      </c>
      <c r="C42" s="338" t="s">
        <v>317</v>
      </c>
      <c r="D42" s="419">
        <v>1</v>
      </c>
      <c r="E42" s="490"/>
      <c r="F42" s="481">
        <f t="shared" si="2"/>
        <v>0</v>
      </c>
    </row>
    <row r="43" spans="1:6" s="325" customFormat="1" ht="15">
      <c r="A43" s="418">
        <v>8</v>
      </c>
      <c r="B43" s="128" t="s">
        <v>322</v>
      </c>
      <c r="C43" s="338" t="s">
        <v>317</v>
      </c>
      <c r="D43" s="419">
        <v>1</v>
      </c>
      <c r="E43" s="490"/>
      <c r="F43" s="481">
        <f t="shared" si="2"/>
        <v>0</v>
      </c>
    </row>
    <row r="44" spans="1:6" s="325" customFormat="1" ht="25.5">
      <c r="A44" s="421">
        <v>9</v>
      </c>
      <c r="B44" s="128" t="s">
        <v>323</v>
      </c>
      <c r="C44" s="338" t="s">
        <v>317</v>
      </c>
      <c r="D44" s="419">
        <v>1</v>
      </c>
      <c r="E44" s="490"/>
      <c r="F44" s="481">
        <f t="shared" si="2"/>
        <v>0</v>
      </c>
    </row>
    <row r="45" spans="1:6" s="325" customFormat="1" ht="25.5">
      <c r="A45" s="418">
        <v>10</v>
      </c>
      <c r="B45" s="128" t="s">
        <v>324</v>
      </c>
      <c r="C45" s="338" t="s">
        <v>314</v>
      </c>
      <c r="D45" s="419">
        <v>1</v>
      </c>
      <c r="E45" s="490"/>
      <c r="F45" s="481">
        <f t="shared" si="2"/>
        <v>0</v>
      </c>
    </row>
    <row r="46" spans="1:6" s="325" customFormat="1" ht="25.5">
      <c r="A46" s="418">
        <v>11</v>
      </c>
      <c r="B46" s="128" t="s">
        <v>325</v>
      </c>
      <c r="C46" s="338" t="s">
        <v>314</v>
      </c>
      <c r="D46" s="419">
        <v>2</v>
      </c>
      <c r="E46" s="490"/>
      <c r="F46" s="481">
        <f t="shared" si="2"/>
        <v>0</v>
      </c>
    </row>
    <row r="47" spans="1:6" s="325" customFormat="1" ht="15">
      <c r="A47" s="418">
        <v>12</v>
      </c>
      <c r="B47" s="128" t="s">
        <v>326</v>
      </c>
      <c r="C47" s="338" t="s">
        <v>317</v>
      </c>
      <c r="D47" s="419">
        <v>1</v>
      </c>
      <c r="E47" s="490"/>
      <c r="F47" s="481">
        <f t="shared" si="2"/>
        <v>0</v>
      </c>
    </row>
    <row r="48" spans="1:6" s="325" customFormat="1" ht="25.5">
      <c r="A48" s="418">
        <v>13</v>
      </c>
      <c r="B48" s="128" t="s">
        <v>327</v>
      </c>
      <c r="C48" s="338" t="s">
        <v>317</v>
      </c>
      <c r="D48" s="419">
        <v>1</v>
      </c>
      <c r="E48" s="490"/>
      <c r="F48" s="481">
        <f t="shared" si="2"/>
        <v>0</v>
      </c>
    </row>
    <row r="49" spans="1:6" s="325" customFormat="1" ht="15">
      <c r="A49" s="418">
        <v>14</v>
      </c>
      <c r="B49" s="128" t="s">
        <v>328</v>
      </c>
      <c r="C49" s="338" t="s">
        <v>317</v>
      </c>
      <c r="D49" s="419">
        <v>1</v>
      </c>
      <c r="E49" s="490"/>
      <c r="F49" s="481">
        <f t="shared" si="2"/>
        <v>0</v>
      </c>
    </row>
    <row r="50" spans="1:6" s="325" customFormat="1" ht="15">
      <c r="A50" s="418">
        <v>15</v>
      </c>
      <c r="B50" s="128" t="s">
        <v>329</v>
      </c>
      <c r="C50" s="338" t="s">
        <v>317</v>
      </c>
      <c r="D50" s="419">
        <v>5</v>
      </c>
      <c r="E50" s="490"/>
      <c r="F50" s="481">
        <f t="shared" si="2"/>
        <v>0</v>
      </c>
    </row>
    <row r="51" spans="1:6" s="325" customFormat="1" ht="25.5">
      <c r="A51" s="418">
        <v>16</v>
      </c>
      <c r="B51" s="128" t="s">
        <v>330</v>
      </c>
      <c r="C51" s="338" t="s">
        <v>314</v>
      </c>
      <c r="D51" s="419">
        <v>4</v>
      </c>
      <c r="E51" s="490"/>
      <c r="F51" s="481">
        <f t="shared" si="2"/>
        <v>0</v>
      </c>
    </row>
    <row r="52" spans="1:6" s="325" customFormat="1" ht="25.5">
      <c r="A52" s="418">
        <v>17</v>
      </c>
      <c r="B52" s="128" t="s">
        <v>331</v>
      </c>
      <c r="C52" s="338" t="s">
        <v>317</v>
      </c>
      <c r="D52" s="419">
        <v>1</v>
      </c>
      <c r="E52" s="490"/>
      <c r="F52" s="481">
        <f t="shared" si="2"/>
        <v>0</v>
      </c>
    </row>
    <row r="53" spans="1:6" s="325" customFormat="1" ht="25.5">
      <c r="A53" s="418">
        <v>18</v>
      </c>
      <c r="B53" s="128" t="s">
        <v>332</v>
      </c>
      <c r="C53" s="338" t="s">
        <v>317</v>
      </c>
      <c r="D53" s="419">
        <v>1</v>
      </c>
      <c r="E53" s="490"/>
      <c r="F53" s="481">
        <f t="shared" si="2"/>
        <v>0</v>
      </c>
    </row>
    <row r="54" spans="1:6" s="325" customFormat="1" ht="15">
      <c r="A54" s="418">
        <v>19</v>
      </c>
      <c r="B54" s="128" t="s">
        <v>333</v>
      </c>
      <c r="C54" s="338" t="s">
        <v>317</v>
      </c>
      <c r="D54" s="419">
        <v>1</v>
      </c>
      <c r="E54" s="490"/>
      <c r="F54" s="481">
        <f t="shared" si="2"/>
        <v>0</v>
      </c>
    </row>
    <row r="55" spans="1:6" s="325" customFormat="1" ht="15">
      <c r="A55" s="418">
        <v>20</v>
      </c>
      <c r="B55" s="128" t="s">
        <v>334</v>
      </c>
      <c r="C55" s="338" t="s">
        <v>317</v>
      </c>
      <c r="D55" s="419">
        <v>1</v>
      </c>
      <c r="E55" s="490"/>
      <c r="F55" s="481">
        <f t="shared" si="2"/>
        <v>0</v>
      </c>
    </row>
    <row r="56" spans="1:6" s="325" customFormat="1" ht="25.5">
      <c r="A56" s="418">
        <v>21</v>
      </c>
      <c r="B56" s="128" t="s">
        <v>335</v>
      </c>
      <c r="C56" s="338" t="s">
        <v>314</v>
      </c>
      <c r="D56" s="419">
        <v>1</v>
      </c>
      <c r="E56" s="490"/>
      <c r="F56" s="481">
        <f t="shared" si="2"/>
        <v>0</v>
      </c>
    </row>
    <row r="57" spans="1:6" s="325" customFormat="1" ht="15">
      <c r="A57" s="418">
        <v>22</v>
      </c>
      <c r="B57" s="128" t="s">
        <v>336</v>
      </c>
      <c r="C57" s="338" t="s">
        <v>314</v>
      </c>
      <c r="D57" s="419">
        <v>1</v>
      </c>
      <c r="E57" s="490"/>
      <c r="F57" s="481">
        <f t="shared" si="2"/>
        <v>0</v>
      </c>
    </row>
    <row r="58" spans="1:6" s="325" customFormat="1" ht="25.5">
      <c r="A58" s="415"/>
      <c r="B58" s="128" t="s">
        <v>337</v>
      </c>
      <c r="C58" s="338" t="s">
        <v>314</v>
      </c>
      <c r="D58" s="419">
        <v>2</v>
      </c>
      <c r="E58" s="490"/>
      <c r="F58" s="481">
        <f t="shared" si="2"/>
        <v>0</v>
      </c>
    </row>
    <row r="59" spans="1:6" s="325" customFormat="1" ht="15">
      <c r="A59" s="418">
        <v>23</v>
      </c>
      <c r="B59" s="128" t="s">
        <v>338</v>
      </c>
      <c r="C59" s="338" t="s">
        <v>314</v>
      </c>
      <c r="D59" s="419">
        <v>2</v>
      </c>
      <c r="E59" s="490"/>
      <c r="F59" s="481">
        <f t="shared" si="2"/>
        <v>0</v>
      </c>
    </row>
    <row r="60" spans="1:6" s="325" customFormat="1" ht="15">
      <c r="A60" s="418">
        <v>24</v>
      </c>
      <c r="B60" s="128" t="s">
        <v>339</v>
      </c>
      <c r="C60" s="338" t="s">
        <v>314</v>
      </c>
      <c r="D60" s="419">
        <v>2</v>
      </c>
      <c r="E60" s="490"/>
      <c r="F60" s="481">
        <f t="shared" si="2"/>
        <v>0</v>
      </c>
    </row>
    <row r="61" spans="1:6" s="325" customFormat="1" ht="15">
      <c r="A61" s="418">
        <v>25</v>
      </c>
      <c r="B61" s="128" t="s">
        <v>340</v>
      </c>
      <c r="C61" s="338" t="s">
        <v>314</v>
      </c>
      <c r="D61" s="419">
        <v>3</v>
      </c>
      <c r="E61" s="490"/>
      <c r="F61" s="481">
        <f t="shared" si="2"/>
        <v>0</v>
      </c>
    </row>
    <row r="62" spans="1:6" s="325" customFormat="1" ht="15">
      <c r="A62" s="418">
        <v>26</v>
      </c>
      <c r="B62" s="128" t="s">
        <v>341</v>
      </c>
      <c r="C62" s="338" t="s">
        <v>314</v>
      </c>
      <c r="D62" s="419">
        <v>2</v>
      </c>
      <c r="E62" s="490"/>
      <c r="F62" s="481">
        <f t="shared" si="2"/>
        <v>0</v>
      </c>
    </row>
    <row r="63" spans="1:6" s="325" customFormat="1" ht="15">
      <c r="A63" s="418">
        <v>27</v>
      </c>
      <c r="B63" s="128" t="s">
        <v>342</v>
      </c>
      <c r="C63" s="338" t="s">
        <v>314</v>
      </c>
      <c r="D63" s="419">
        <v>2</v>
      </c>
      <c r="E63" s="490"/>
      <c r="F63" s="481">
        <f t="shared" si="2"/>
        <v>0</v>
      </c>
    </row>
    <row r="64" spans="1:6" s="325" customFormat="1" ht="25.5">
      <c r="A64" s="418">
        <v>28</v>
      </c>
      <c r="B64" s="128" t="s">
        <v>343</v>
      </c>
      <c r="C64" s="338" t="s">
        <v>317</v>
      </c>
      <c r="D64" s="419">
        <v>2</v>
      </c>
      <c r="E64" s="490"/>
      <c r="F64" s="481">
        <f t="shared" si="2"/>
        <v>0</v>
      </c>
    </row>
    <row r="65" spans="1:6" s="325" customFormat="1" ht="15">
      <c r="A65" s="418">
        <v>29</v>
      </c>
      <c r="B65" s="128" t="s">
        <v>344</v>
      </c>
      <c r="C65" s="338" t="s">
        <v>317</v>
      </c>
      <c r="D65" s="419">
        <v>2</v>
      </c>
      <c r="E65" s="490"/>
      <c r="F65" s="481">
        <f t="shared" si="2"/>
        <v>0</v>
      </c>
    </row>
    <row r="66" spans="1:6" s="325" customFormat="1" ht="27">
      <c r="A66" s="418">
        <v>30</v>
      </c>
      <c r="B66" s="405" t="s">
        <v>345</v>
      </c>
      <c r="C66" s="338" t="s">
        <v>317</v>
      </c>
      <c r="D66" s="419">
        <v>1</v>
      </c>
      <c r="E66" s="490"/>
      <c r="F66" s="481">
        <f t="shared" si="2"/>
        <v>0</v>
      </c>
    </row>
    <row r="67" spans="1:6" s="325" customFormat="1" ht="25.5">
      <c r="A67" s="418">
        <v>31</v>
      </c>
      <c r="B67" s="128" t="s">
        <v>346</v>
      </c>
      <c r="C67" s="338" t="s">
        <v>317</v>
      </c>
      <c r="D67" s="419">
        <v>1</v>
      </c>
      <c r="E67" s="490"/>
      <c r="F67" s="481">
        <f t="shared" si="2"/>
        <v>0</v>
      </c>
    </row>
    <row r="68" spans="1:6" s="325" customFormat="1" ht="15">
      <c r="A68" s="418">
        <v>32</v>
      </c>
      <c r="B68" s="128" t="s">
        <v>347</v>
      </c>
      <c r="C68" s="338" t="s">
        <v>317</v>
      </c>
      <c r="D68" s="419">
        <v>1</v>
      </c>
      <c r="E68" s="490"/>
      <c r="F68" s="481">
        <f t="shared" si="2"/>
        <v>0</v>
      </c>
    </row>
    <row r="69" spans="1:6" s="325" customFormat="1" ht="25.5">
      <c r="A69" s="418">
        <v>33</v>
      </c>
      <c r="B69" s="128" t="s">
        <v>348</v>
      </c>
      <c r="C69" s="338" t="s">
        <v>317</v>
      </c>
      <c r="D69" s="419">
        <v>2</v>
      </c>
      <c r="E69" s="490"/>
      <c r="F69" s="481">
        <f t="shared" si="2"/>
        <v>0</v>
      </c>
    </row>
    <row r="70" spans="1:6" s="325" customFormat="1" ht="25.5">
      <c r="A70" s="418">
        <v>34</v>
      </c>
      <c r="B70" s="128" t="s">
        <v>349</v>
      </c>
      <c r="C70" s="338" t="s">
        <v>317</v>
      </c>
      <c r="D70" s="419">
        <v>1</v>
      </c>
      <c r="E70" s="490"/>
      <c r="F70" s="481">
        <f t="shared" si="2"/>
        <v>0</v>
      </c>
    </row>
    <row r="71" spans="1:6" s="325" customFormat="1" ht="25.5">
      <c r="A71" s="418">
        <v>35</v>
      </c>
      <c r="B71" s="128" t="s">
        <v>350</v>
      </c>
      <c r="C71" s="338" t="s">
        <v>314</v>
      </c>
      <c r="D71" s="419">
        <v>2</v>
      </c>
      <c r="E71" s="490"/>
      <c r="F71" s="481">
        <f t="shared" si="2"/>
        <v>0</v>
      </c>
    </row>
    <row r="72" spans="1:6" s="325" customFormat="1" ht="15">
      <c r="A72" s="418">
        <v>36</v>
      </c>
      <c r="B72" s="128" t="s">
        <v>351</v>
      </c>
      <c r="C72" s="338" t="s">
        <v>314</v>
      </c>
      <c r="D72" s="419">
        <v>2</v>
      </c>
      <c r="E72" s="490"/>
      <c r="F72" s="481">
        <f t="shared" si="2"/>
        <v>0</v>
      </c>
    </row>
    <row r="73" spans="1:6" s="325" customFormat="1" ht="25.5">
      <c r="A73" s="418">
        <v>37</v>
      </c>
      <c r="B73" s="128" t="s">
        <v>352</v>
      </c>
      <c r="C73" s="338" t="s">
        <v>314</v>
      </c>
      <c r="D73" s="419">
        <v>5</v>
      </c>
      <c r="E73" s="490"/>
      <c r="F73" s="481">
        <f t="shared" si="2"/>
        <v>0</v>
      </c>
    </row>
    <row r="74" spans="1:6" s="325" customFormat="1" ht="25.5">
      <c r="A74" s="418">
        <v>38</v>
      </c>
      <c r="B74" s="128" t="s">
        <v>353</v>
      </c>
      <c r="C74" s="338" t="s">
        <v>314</v>
      </c>
      <c r="D74" s="419">
        <v>2</v>
      </c>
      <c r="E74" s="490"/>
      <c r="F74" s="481">
        <f t="shared" si="2"/>
        <v>0</v>
      </c>
    </row>
    <row r="75" spans="1:6" s="325" customFormat="1" ht="25.5">
      <c r="A75" s="418">
        <v>39</v>
      </c>
      <c r="B75" s="128" t="s">
        <v>354</v>
      </c>
      <c r="C75" s="338" t="s">
        <v>317</v>
      </c>
      <c r="D75" s="419">
        <v>4</v>
      </c>
      <c r="E75" s="490"/>
      <c r="F75" s="481">
        <f t="shared" si="2"/>
        <v>0</v>
      </c>
    </row>
    <row r="76" spans="1:6" s="325" customFormat="1" ht="15">
      <c r="A76" s="418">
        <v>40</v>
      </c>
      <c r="B76" s="128" t="s">
        <v>355</v>
      </c>
      <c r="C76" s="338" t="s">
        <v>317</v>
      </c>
      <c r="D76" s="419">
        <v>1</v>
      </c>
      <c r="E76" s="490"/>
      <c r="F76" s="481">
        <f t="shared" si="2"/>
        <v>0</v>
      </c>
    </row>
    <row r="77" spans="1:6" s="325" customFormat="1" ht="15">
      <c r="A77" s="418">
        <v>41</v>
      </c>
      <c r="B77" s="128" t="s">
        <v>356</v>
      </c>
      <c r="C77" s="338" t="s">
        <v>317</v>
      </c>
      <c r="D77" s="419">
        <v>1</v>
      </c>
      <c r="E77" s="490"/>
      <c r="F77" s="481">
        <f t="shared" si="2"/>
        <v>0</v>
      </c>
    </row>
    <row r="78" spans="1:6" s="325" customFormat="1" ht="25.5">
      <c r="A78" s="418">
        <v>42</v>
      </c>
      <c r="B78" s="128" t="s">
        <v>357</v>
      </c>
      <c r="C78" s="338" t="s">
        <v>317</v>
      </c>
      <c r="D78" s="419">
        <v>2</v>
      </c>
      <c r="E78" s="490"/>
      <c r="F78" s="481">
        <f t="shared" si="2"/>
        <v>0</v>
      </c>
    </row>
    <row r="79" spans="1:6" s="325" customFormat="1" ht="15">
      <c r="A79" s="418">
        <v>43</v>
      </c>
      <c r="B79" s="128" t="s">
        <v>358</v>
      </c>
      <c r="C79" s="338" t="s">
        <v>317</v>
      </c>
      <c r="D79" s="419">
        <v>1</v>
      </c>
      <c r="E79" s="490"/>
      <c r="F79" s="481">
        <f t="shared" si="2"/>
        <v>0</v>
      </c>
    </row>
    <row r="80" spans="1:6" s="325" customFormat="1" ht="25.5">
      <c r="A80" s="418">
        <v>44</v>
      </c>
      <c r="B80" s="128" t="s">
        <v>359</v>
      </c>
      <c r="C80" s="338" t="s">
        <v>317</v>
      </c>
      <c r="D80" s="419">
        <v>1</v>
      </c>
      <c r="E80" s="490"/>
      <c r="F80" s="481">
        <f t="shared" si="2"/>
        <v>0</v>
      </c>
    </row>
    <row r="81" spans="1:6" s="325" customFormat="1" ht="25.5">
      <c r="A81" s="418">
        <v>45</v>
      </c>
      <c r="B81" s="128" t="s">
        <v>360</v>
      </c>
      <c r="C81" s="338" t="s">
        <v>314</v>
      </c>
      <c r="D81" s="419">
        <v>1</v>
      </c>
      <c r="E81" s="490"/>
      <c r="F81" s="481">
        <f t="shared" si="2"/>
        <v>0</v>
      </c>
    </row>
    <row r="82" spans="1:6" s="325" customFormat="1" ht="25.5">
      <c r="A82" s="418">
        <v>46</v>
      </c>
      <c r="B82" s="128" t="s">
        <v>361</v>
      </c>
      <c r="C82" s="338" t="s">
        <v>307</v>
      </c>
      <c r="D82" s="419">
        <v>10</v>
      </c>
      <c r="E82" s="490"/>
      <c r="F82" s="481">
        <f t="shared" si="2"/>
        <v>0</v>
      </c>
    </row>
    <row r="83" spans="1:6" s="325" customFormat="1" ht="25.5">
      <c r="A83" s="418">
        <v>47</v>
      </c>
      <c r="B83" s="128" t="s">
        <v>362</v>
      </c>
      <c r="C83" s="338" t="s">
        <v>307</v>
      </c>
      <c r="D83" s="419">
        <v>30</v>
      </c>
      <c r="E83" s="490"/>
      <c r="F83" s="481">
        <f t="shared" si="2"/>
        <v>0</v>
      </c>
    </row>
    <row r="84" spans="1:6" s="325" customFormat="1" ht="15">
      <c r="A84" s="418">
        <v>48</v>
      </c>
      <c r="B84" s="128" t="s">
        <v>363</v>
      </c>
      <c r="C84" s="338" t="s">
        <v>314</v>
      </c>
      <c r="D84" s="419">
        <v>1</v>
      </c>
      <c r="E84" s="490"/>
      <c r="F84" s="481">
        <f t="shared" si="2"/>
        <v>0</v>
      </c>
    </row>
    <row r="85" spans="1:6" s="325" customFormat="1" ht="15">
      <c r="A85" s="418">
        <v>49</v>
      </c>
      <c r="B85" s="128" t="s">
        <v>364</v>
      </c>
      <c r="C85" s="338" t="s">
        <v>314</v>
      </c>
      <c r="D85" s="419">
        <v>1</v>
      </c>
      <c r="E85" s="490"/>
      <c r="F85" s="481">
        <f t="shared" si="2"/>
        <v>0</v>
      </c>
    </row>
    <row r="86" spans="1:6" s="325" customFormat="1" ht="25.5">
      <c r="A86" s="418">
        <v>50</v>
      </c>
      <c r="B86" s="128" t="s">
        <v>365</v>
      </c>
      <c r="C86" s="338" t="s">
        <v>314</v>
      </c>
      <c r="D86" s="419">
        <v>1</v>
      </c>
      <c r="E86" s="490"/>
      <c r="F86" s="481">
        <f t="shared" si="2"/>
        <v>0</v>
      </c>
    </row>
    <row r="87" spans="1:6" s="325" customFormat="1" ht="15">
      <c r="A87" s="348" t="s">
        <v>366</v>
      </c>
      <c r="B87" s="347"/>
      <c r="C87" s="347"/>
      <c r="D87" s="363"/>
      <c r="E87" s="420"/>
      <c r="F87" s="482">
        <f>SUM(F36:F86)</f>
        <v>0</v>
      </c>
    </row>
    <row r="88" spans="1:6">
      <c r="A88" s="48"/>
      <c r="B88" s="329"/>
      <c r="C88" s="60"/>
      <c r="F88" s="479"/>
    </row>
    <row r="89" spans="1:6" s="275" customFormat="1" ht="16.5" thickBot="1">
      <c r="A89" s="371" t="s">
        <v>275</v>
      </c>
      <c r="B89" s="372" t="s">
        <v>169</v>
      </c>
      <c r="C89" s="373"/>
      <c r="D89" s="422"/>
      <c r="E89" s="358" t="s">
        <v>62</v>
      </c>
      <c r="F89" s="483">
        <f>F87+F31+F20</f>
        <v>0</v>
      </c>
    </row>
    <row r="90" spans="1:6" ht="51.75" customHeight="1" thickTop="1">
      <c r="F90" s="479"/>
    </row>
    <row r="91" spans="1:6" s="275" customFormat="1" ht="24.75" customHeight="1">
      <c r="A91" s="370" t="s">
        <v>276</v>
      </c>
      <c r="B91" s="369" t="s">
        <v>170</v>
      </c>
      <c r="C91" s="300"/>
      <c r="D91" s="357"/>
      <c r="E91" s="355"/>
      <c r="F91" s="479"/>
    </row>
    <row r="92" spans="1:6" ht="15.75">
      <c r="B92" s="332"/>
      <c r="F92" s="479"/>
    </row>
    <row r="93" spans="1:6" ht="15.75">
      <c r="A93" s="423" t="s">
        <v>200</v>
      </c>
      <c r="B93" s="129" t="s">
        <v>274</v>
      </c>
      <c r="F93" s="479"/>
    </row>
    <row r="94" spans="1:6">
      <c r="F94" s="479"/>
    </row>
    <row r="95" spans="1:6" s="325" customFormat="1" ht="15">
      <c r="A95" s="339" t="s">
        <v>283</v>
      </c>
      <c r="B95" s="340" t="s">
        <v>284</v>
      </c>
      <c r="C95" s="341" t="s">
        <v>285</v>
      </c>
      <c r="D95" s="360" t="s">
        <v>286</v>
      </c>
      <c r="E95" s="403" t="s">
        <v>273</v>
      </c>
      <c r="F95" s="484" t="s">
        <v>470</v>
      </c>
    </row>
    <row r="96" spans="1:6" s="325" customFormat="1" ht="15">
      <c r="A96" s="404">
        <v>1</v>
      </c>
      <c r="B96" s="334" t="s">
        <v>287</v>
      </c>
      <c r="C96" s="405"/>
      <c r="D96" s="406"/>
      <c r="E96" s="406"/>
      <c r="F96" s="475"/>
    </row>
    <row r="97" spans="1:7" s="325" customFormat="1" ht="15">
      <c r="A97" s="414">
        <v>11</v>
      </c>
      <c r="B97" s="333" t="s">
        <v>288</v>
      </c>
      <c r="C97" s="333" t="s">
        <v>289</v>
      </c>
      <c r="D97" s="424">
        <v>90</v>
      </c>
      <c r="E97" s="406"/>
      <c r="F97" s="478">
        <f>D97*E97</f>
        <v>0</v>
      </c>
    </row>
    <row r="98" spans="1:7" s="325" customFormat="1" ht="24">
      <c r="A98" s="414">
        <v>12</v>
      </c>
      <c r="B98" s="333" t="s">
        <v>367</v>
      </c>
      <c r="C98" s="333" t="s">
        <v>289</v>
      </c>
      <c r="D98" s="425">
        <v>95</v>
      </c>
      <c r="E98" s="406"/>
      <c r="F98" s="478">
        <f t="shared" ref="F98:F104" si="3">D98*E98</f>
        <v>0</v>
      </c>
    </row>
    <row r="99" spans="1:7" s="325" customFormat="1" ht="24">
      <c r="A99" s="414">
        <v>13</v>
      </c>
      <c r="B99" s="333" t="s">
        <v>368</v>
      </c>
      <c r="C99" s="333" t="s">
        <v>289</v>
      </c>
      <c r="D99" s="424">
        <v>10</v>
      </c>
      <c r="E99" s="408"/>
      <c r="F99" s="478">
        <f t="shared" si="3"/>
        <v>0</v>
      </c>
    </row>
    <row r="100" spans="1:7" s="325" customFormat="1" ht="36">
      <c r="A100" s="414">
        <v>14</v>
      </c>
      <c r="B100" s="415" t="s">
        <v>369</v>
      </c>
      <c r="C100" s="333" t="s">
        <v>292</v>
      </c>
      <c r="D100" s="424">
        <v>1</v>
      </c>
      <c r="E100" s="408"/>
      <c r="F100" s="478">
        <f t="shared" si="3"/>
        <v>0</v>
      </c>
    </row>
    <row r="101" spans="1:7" s="325" customFormat="1" ht="24">
      <c r="A101" s="414">
        <v>15</v>
      </c>
      <c r="B101" s="333" t="s">
        <v>370</v>
      </c>
      <c r="C101" s="333" t="s">
        <v>371</v>
      </c>
      <c r="D101" s="424">
        <v>1</v>
      </c>
      <c r="E101" s="353"/>
      <c r="F101" s="478">
        <f t="shared" si="3"/>
        <v>0</v>
      </c>
    </row>
    <row r="102" spans="1:7" s="325" customFormat="1" ht="24">
      <c r="A102" s="414">
        <v>16</v>
      </c>
      <c r="B102" s="333" t="s">
        <v>293</v>
      </c>
      <c r="C102" s="333" t="s">
        <v>292</v>
      </c>
      <c r="D102" s="424">
        <v>110</v>
      </c>
      <c r="E102" s="408"/>
      <c r="F102" s="478">
        <f t="shared" si="3"/>
        <v>0</v>
      </c>
    </row>
    <row r="103" spans="1:7" s="325" customFormat="1" ht="15">
      <c r="A103" s="414">
        <v>17</v>
      </c>
      <c r="B103" s="333" t="s">
        <v>372</v>
      </c>
      <c r="C103" s="333" t="s">
        <v>289</v>
      </c>
      <c r="D103" s="424">
        <v>8</v>
      </c>
      <c r="E103" s="406"/>
      <c r="F103" s="478">
        <f t="shared" si="3"/>
        <v>0</v>
      </c>
    </row>
    <row r="104" spans="1:7" s="325" customFormat="1" ht="15">
      <c r="A104" s="414">
        <v>18</v>
      </c>
      <c r="B104" s="333" t="s">
        <v>296</v>
      </c>
      <c r="C104" s="333" t="s">
        <v>297</v>
      </c>
      <c r="D104" s="424">
        <v>1</v>
      </c>
      <c r="E104" s="408"/>
      <c r="F104" s="478">
        <f t="shared" si="3"/>
        <v>0</v>
      </c>
    </row>
    <row r="105" spans="1:7" s="325" customFormat="1" ht="15">
      <c r="A105" s="426">
        <v>19</v>
      </c>
      <c r="B105" s="427" t="s">
        <v>373</v>
      </c>
      <c r="C105" s="415"/>
      <c r="D105" s="428"/>
      <c r="E105" s="406">
        <v>0</v>
      </c>
      <c r="F105" s="478">
        <f>SUM(F97:F104)</f>
        <v>0</v>
      </c>
    </row>
    <row r="106" spans="1:7" s="325" customFormat="1" ht="15">
      <c r="A106" s="426"/>
      <c r="B106" s="427"/>
      <c r="C106" s="415"/>
      <c r="D106" s="428"/>
      <c r="E106" s="406"/>
      <c r="F106" s="478"/>
    </row>
    <row r="107" spans="1:7" s="325" customFormat="1" ht="15">
      <c r="A107" s="410" t="s">
        <v>200</v>
      </c>
      <c r="B107" s="411" t="s">
        <v>472</v>
      </c>
      <c r="C107" s="405"/>
      <c r="D107" s="406"/>
      <c r="E107" s="406"/>
      <c r="F107" s="476">
        <f>F105</f>
        <v>0</v>
      </c>
    </row>
    <row r="108" spans="1:7">
      <c r="F108" s="479"/>
    </row>
    <row r="109" spans="1:7" ht="15.75">
      <c r="A109" s="336" t="s">
        <v>201</v>
      </c>
      <c r="B109" s="336" t="s">
        <v>277</v>
      </c>
      <c r="C109" s="335"/>
      <c r="D109" s="343"/>
      <c r="E109" s="412"/>
      <c r="F109" s="477"/>
    </row>
    <row r="110" spans="1:7">
      <c r="A110" s="314"/>
      <c r="B110" s="335"/>
      <c r="C110" s="335"/>
      <c r="D110" s="343"/>
      <c r="E110" s="412"/>
      <c r="F110" s="477"/>
    </row>
    <row r="111" spans="1:7" s="325" customFormat="1" ht="15">
      <c r="A111" s="429">
        <v>1</v>
      </c>
      <c r="B111" s="364" t="s">
        <v>374</v>
      </c>
      <c r="C111" s="415"/>
      <c r="D111" s="415"/>
      <c r="E111" s="427"/>
      <c r="F111" s="478"/>
    </row>
    <row r="112" spans="1:7" s="325" customFormat="1" ht="84">
      <c r="A112" s="414">
        <v>11</v>
      </c>
      <c r="B112" s="415" t="s">
        <v>375</v>
      </c>
      <c r="C112" s="333" t="s">
        <v>292</v>
      </c>
      <c r="D112" s="492">
        <v>1</v>
      </c>
      <c r="E112" s="488"/>
      <c r="F112" s="481">
        <f>D112*E112</f>
        <v>0</v>
      </c>
      <c r="G112" s="493"/>
    </row>
    <row r="113" spans="1:13" s="325" customFormat="1" ht="72">
      <c r="A113" s="414">
        <v>12</v>
      </c>
      <c r="B113" s="415" t="s">
        <v>376</v>
      </c>
      <c r="C113" s="333" t="s">
        <v>292</v>
      </c>
      <c r="D113" s="492">
        <v>1</v>
      </c>
      <c r="E113" s="488"/>
      <c r="F113" s="481">
        <f t="shared" ref="F113:F114" si="4">D113*E113</f>
        <v>0</v>
      </c>
      <c r="G113" s="493"/>
    </row>
    <row r="114" spans="1:13" s="325" customFormat="1" ht="42" customHeight="1">
      <c r="A114" s="414">
        <v>15</v>
      </c>
      <c r="B114" s="415" t="s">
        <v>377</v>
      </c>
      <c r="C114" s="333" t="s">
        <v>305</v>
      </c>
      <c r="D114" s="492">
        <v>1</v>
      </c>
      <c r="E114" s="490"/>
      <c r="F114" s="481">
        <f t="shared" si="4"/>
        <v>0</v>
      </c>
      <c r="G114" s="493"/>
    </row>
    <row r="115" spans="1:13" s="325" customFormat="1" ht="15">
      <c r="A115" s="426">
        <v>16</v>
      </c>
      <c r="B115" s="347" t="s">
        <v>378</v>
      </c>
      <c r="C115" s="432"/>
      <c r="D115" s="432"/>
      <c r="E115" s="433"/>
      <c r="F115" s="482">
        <f>SUM(F112:F114)</f>
        <v>0</v>
      </c>
    </row>
    <row r="116" spans="1:13" s="325" customFormat="1" ht="15">
      <c r="A116" s="426"/>
      <c r="B116" s="347"/>
      <c r="C116" s="432"/>
      <c r="D116" s="432"/>
      <c r="E116" s="433"/>
      <c r="F116" s="482"/>
    </row>
    <row r="117" spans="1:13" s="325" customFormat="1" ht="15">
      <c r="A117" s="434">
        <v>2</v>
      </c>
      <c r="B117" s="365" t="s">
        <v>379</v>
      </c>
      <c r="C117" s="415"/>
      <c r="D117" s="415"/>
      <c r="E117" s="427"/>
      <c r="F117" s="478"/>
    </row>
    <row r="118" spans="1:13" s="325" customFormat="1" ht="108">
      <c r="A118" s="407">
        <v>11</v>
      </c>
      <c r="B118" s="333" t="s">
        <v>380</v>
      </c>
      <c r="C118" s="333" t="s">
        <v>292</v>
      </c>
      <c r="D118" s="430">
        <v>1</v>
      </c>
      <c r="E118" s="342"/>
      <c r="F118" s="478">
        <f>D118*E118</f>
        <v>0</v>
      </c>
    </row>
    <row r="119" spans="1:13" s="325" customFormat="1" ht="48">
      <c r="A119" s="407">
        <v>12</v>
      </c>
      <c r="B119" s="415" t="s">
        <v>381</v>
      </c>
      <c r="C119" s="333" t="s">
        <v>292</v>
      </c>
      <c r="D119" s="430">
        <v>1</v>
      </c>
      <c r="E119" s="431"/>
      <c r="F119" s="478">
        <f t="shared" ref="F119:F122" si="5">D119*E119</f>
        <v>0</v>
      </c>
    </row>
    <row r="120" spans="1:13" s="325" customFormat="1" ht="36">
      <c r="A120" s="407">
        <v>13</v>
      </c>
      <c r="B120" s="333" t="s">
        <v>382</v>
      </c>
      <c r="C120" s="333" t="s">
        <v>294</v>
      </c>
      <c r="D120" s="430">
        <v>1</v>
      </c>
      <c r="E120" s="431"/>
      <c r="F120" s="478">
        <f t="shared" si="5"/>
        <v>0</v>
      </c>
    </row>
    <row r="121" spans="1:13" s="325" customFormat="1" ht="24">
      <c r="A121" s="407">
        <v>14</v>
      </c>
      <c r="B121" s="333" t="s">
        <v>383</v>
      </c>
      <c r="C121" s="333" t="s">
        <v>297</v>
      </c>
      <c r="D121" s="430">
        <v>1</v>
      </c>
      <c r="E121" s="342"/>
      <c r="F121" s="478">
        <f t="shared" si="5"/>
        <v>0</v>
      </c>
    </row>
    <row r="122" spans="1:13" s="325" customFormat="1" ht="36">
      <c r="A122" s="407">
        <v>15</v>
      </c>
      <c r="B122" s="415" t="s">
        <v>384</v>
      </c>
      <c r="C122" s="333" t="s">
        <v>305</v>
      </c>
      <c r="D122" s="430">
        <v>1</v>
      </c>
      <c r="E122" s="342"/>
      <c r="F122" s="478">
        <f t="shared" si="5"/>
        <v>0</v>
      </c>
    </row>
    <row r="123" spans="1:13" s="325" customFormat="1" ht="15">
      <c r="A123" s="416">
        <v>16</v>
      </c>
      <c r="B123" s="337" t="s">
        <v>298</v>
      </c>
      <c r="C123" s="432"/>
      <c r="D123" s="432"/>
      <c r="E123" s="435">
        <v>0</v>
      </c>
      <c r="F123" s="482">
        <f>SUM(F118:F122)</f>
        <v>0</v>
      </c>
    </row>
    <row r="124" spans="1:13">
      <c r="E124" s="400">
        <v>0</v>
      </c>
      <c r="F124" s="479"/>
    </row>
    <row r="125" spans="1:13">
      <c r="F125" s="479"/>
    </row>
    <row r="126" spans="1:13" ht="15.75">
      <c r="A126" s="336" t="s">
        <v>278</v>
      </c>
      <c r="B126" s="336" t="s">
        <v>279</v>
      </c>
      <c r="F126" s="479"/>
    </row>
    <row r="127" spans="1:13" s="325" customFormat="1" ht="25.5">
      <c r="A127" s="374" t="s">
        <v>309</v>
      </c>
      <c r="B127" s="375" t="s">
        <v>310</v>
      </c>
      <c r="C127" s="344" t="s">
        <v>311</v>
      </c>
      <c r="D127" s="376" t="s">
        <v>312</v>
      </c>
      <c r="E127" s="436"/>
      <c r="F127" s="480"/>
      <c r="G127" s="326"/>
      <c r="H127" s="326"/>
      <c r="I127" s="326"/>
      <c r="J127" s="326"/>
      <c r="K127" s="326"/>
      <c r="L127" s="326"/>
      <c r="M127" s="326"/>
    </row>
    <row r="128" spans="1:13" s="325" customFormat="1" ht="25.5">
      <c r="A128" s="418">
        <v>1</v>
      </c>
      <c r="B128" s="338" t="s">
        <v>313</v>
      </c>
      <c r="C128" s="338" t="s">
        <v>314</v>
      </c>
      <c r="D128" s="437">
        <v>1</v>
      </c>
      <c r="E128" s="342"/>
      <c r="F128" s="478">
        <f t="shared" ref="F128:F178" si="6">D128*E128</f>
        <v>0</v>
      </c>
      <c r="G128" s="326"/>
      <c r="H128" s="326"/>
      <c r="I128" s="326"/>
      <c r="J128" s="326"/>
      <c r="K128" s="326"/>
      <c r="L128" s="326"/>
      <c r="M128" s="326"/>
    </row>
    <row r="129" spans="1:13" s="325" customFormat="1" ht="15">
      <c r="A129" s="418">
        <v>2</v>
      </c>
      <c r="B129" s="438" t="s">
        <v>280</v>
      </c>
      <c r="C129" s="338" t="s">
        <v>314</v>
      </c>
      <c r="D129" s="437">
        <v>1</v>
      </c>
      <c r="E129" s="342"/>
      <c r="F129" s="478">
        <f t="shared" si="6"/>
        <v>0</v>
      </c>
      <c r="G129" s="326"/>
      <c r="H129" s="326"/>
      <c r="I129" s="326"/>
      <c r="J129" s="326"/>
      <c r="K129" s="326"/>
      <c r="L129" s="326"/>
      <c r="M129" s="326"/>
    </row>
    <row r="130" spans="1:13" s="325" customFormat="1" ht="25.5">
      <c r="A130" s="418">
        <v>3</v>
      </c>
      <c r="B130" s="438" t="s">
        <v>281</v>
      </c>
      <c r="C130" s="338" t="s">
        <v>317</v>
      </c>
      <c r="D130" s="437">
        <v>1</v>
      </c>
      <c r="E130" s="342"/>
      <c r="F130" s="478">
        <f t="shared" si="6"/>
        <v>0</v>
      </c>
      <c r="G130" s="326"/>
      <c r="H130" s="326"/>
      <c r="I130" s="326"/>
      <c r="J130" s="326"/>
      <c r="K130" s="326"/>
      <c r="L130" s="326"/>
      <c r="M130" s="326"/>
    </row>
    <row r="131" spans="1:13" s="325" customFormat="1" ht="25.5">
      <c r="A131" s="418">
        <v>4</v>
      </c>
      <c r="B131" s="338" t="s">
        <v>318</v>
      </c>
      <c r="C131" s="338" t="s">
        <v>317</v>
      </c>
      <c r="D131" s="437">
        <v>3</v>
      </c>
      <c r="E131" s="342"/>
      <c r="F131" s="478">
        <f t="shared" si="6"/>
        <v>0</v>
      </c>
      <c r="G131" s="326"/>
      <c r="H131" s="326"/>
      <c r="I131" s="326"/>
      <c r="J131" s="326"/>
      <c r="K131" s="326"/>
      <c r="L131" s="326"/>
      <c r="M131" s="326"/>
    </row>
    <row r="132" spans="1:13" s="325" customFormat="1" ht="38.25">
      <c r="A132" s="418">
        <v>5</v>
      </c>
      <c r="B132" s="338" t="s">
        <v>385</v>
      </c>
      <c r="C132" s="338" t="s">
        <v>317</v>
      </c>
      <c r="D132" s="437">
        <v>1</v>
      </c>
      <c r="E132" s="342"/>
      <c r="F132" s="478">
        <f t="shared" si="6"/>
        <v>0</v>
      </c>
      <c r="G132" s="326"/>
      <c r="H132" s="326"/>
      <c r="I132" s="326"/>
      <c r="J132" s="326"/>
      <c r="K132" s="326"/>
      <c r="L132" s="326"/>
      <c r="M132" s="326"/>
    </row>
    <row r="133" spans="1:13" s="325" customFormat="1" ht="25.5">
      <c r="A133" s="418">
        <v>6</v>
      </c>
      <c r="B133" s="338" t="s">
        <v>386</v>
      </c>
      <c r="C133" s="338" t="s">
        <v>314</v>
      </c>
      <c r="D133" s="437">
        <v>1</v>
      </c>
      <c r="E133" s="342"/>
      <c r="F133" s="478">
        <f t="shared" si="6"/>
        <v>0</v>
      </c>
      <c r="G133" s="326"/>
      <c r="H133" s="326"/>
      <c r="I133" s="326"/>
      <c r="J133" s="326"/>
      <c r="K133" s="326"/>
      <c r="L133" s="326"/>
      <c r="M133" s="326"/>
    </row>
    <row r="134" spans="1:13" s="325" customFormat="1" ht="15">
      <c r="A134" s="418">
        <v>7</v>
      </c>
      <c r="B134" s="338" t="s">
        <v>321</v>
      </c>
      <c r="C134" s="338" t="s">
        <v>317</v>
      </c>
      <c r="D134" s="437">
        <v>1</v>
      </c>
      <c r="E134" s="342"/>
      <c r="F134" s="478">
        <f t="shared" si="6"/>
        <v>0</v>
      </c>
      <c r="G134" s="326"/>
      <c r="H134" s="326"/>
      <c r="I134" s="326"/>
      <c r="J134" s="326"/>
      <c r="K134" s="326"/>
      <c r="L134" s="326"/>
      <c r="M134" s="326"/>
    </row>
    <row r="135" spans="1:13" s="325" customFormat="1" ht="15">
      <c r="A135" s="421">
        <v>8</v>
      </c>
      <c r="B135" s="338" t="s">
        <v>387</v>
      </c>
      <c r="C135" s="338" t="s">
        <v>317</v>
      </c>
      <c r="D135" s="437">
        <v>1</v>
      </c>
      <c r="E135" s="342"/>
      <c r="F135" s="478">
        <f t="shared" si="6"/>
        <v>0</v>
      </c>
      <c r="G135" s="326"/>
      <c r="H135" s="326"/>
      <c r="I135" s="326"/>
      <c r="J135" s="326"/>
      <c r="K135" s="326"/>
      <c r="L135" s="326"/>
      <c r="M135" s="326"/>
    </row>
    <row r="136" spans="1:13" s="325" customFormat="1" ht="25.5">
      <c r="A136" s="421">
        <v>9</v>
      </c>
      <c r="B136" s="338" t="s">
        <v>323</v>
      </c>
      <c r="C136" s="338" t="s">
        <v>317</v>
      </c>
      <c r="D136" s="437">
        <v>1</v>
      </c>
      <c r="E136" s="342"/>
      <c r="F136" s="478">
        <f t="shared" si="6"/>
        <v>0</v>
      </c>
      <c r="G136" s="326"/>
      <c r="H136" s="326"/>
      <c r="I136" s="326"/>
      <c r="J136" s="326"/>
      <c r="K136" s="326"/>
      <c r="L136" s="326"/>
      <c r="M136" s="326"/>
    </row>
    <row r="137" spans="1:13" s="325" customFormat="1" ht="25.5">
      <c r="A137" s="418">
        <v>10</v>
      </c>
      <c r="B137" s="338" t="s">
        <v>388</v>
      </c>
      <c r="C137" s="338" t="s">
        <v>314</v>
      </c>
      <c r="D137" s="437">
        <v>1</v>
      </c>
      <c r="E137" s="342"/>
      <c r="F137" s="478">
        <f t="shared" si="6"/>
        <v>0</v>
      </c>
      <c r="G137" s="326"/>
      <c r="H137" s="326"/>
      <c r="I137" s="326"/>
      <c r="J137" s="326"/>
      <c r="K137" s="326"/>
      <c r="L137" s="326"/>
      <c r="M137" s="326"/>
    </row>
    <row r="138" spans="1:13" s="325" customFormat="1" ht="25.5">
      <c r="A138" s="418">
        <v>11</v>
      </c>
      <c r="B138" s="338" t="s">
        <v>389</v>
      </c>
      <c r="C138" s="338" t="s">
        <v>314</v>
      </c>
      <c r="D138" s="437">
        <v>2</v>
      </c>
      <c r="E138" s="342"/>
      <c r="F138" s="478">
        <f t="shared" si="6"/>
        <v>0</v>
      </c>
      <c r="G138" s="326"/>
      <c r="H138" s="326"/>
      <c r="I138" s="326"/>
      <c r="J138" s="326"/>
      <c r="K138" s="326"/>
      <c r="L138" s="326"/>
      <c r="M138" s="326"/>
    </row>
    <row r="139" spans="1:13" s="325" customFormat="1" ht="15">
      <c r="A139" s="418">
        <v>12</v>
      </c>
      <c r="B139" s="338" t="s">
        <v>326</v>
      </c>
      <c r="C139" s="338" t="s">
        <v>317</v>
      </c>
      <c r="D139" s="437">
        <v>1</v>
      </c>
      <c r="E139" s="342"/>
      <c r="F139" s="478">
        <f t="shared" si="6"/>
        <v>0</v>
      </c>
      <c r="G139" s="326"/>
      <c r="H139" s="326"/>
      <c r="I139" s="326"/>
      <c r="J139" s="326"/>
      <c r="K139" s="326"/>
      <c r="L139" s="326"/>
      <c r="M139" s="326"/>
    </row>
    <row r="140" spans="1:13" s="325" customFormat="1" ht="25.5">
      <c r="A140" s="418">
        <v>13</v>
      </c>
      <c r="B140" s="338" t="s">
        <v>390</v>
      </c>
      <c r="C140" s="338" t="s">
        <v>317</v>
      </c>
      <c r="D140" s="437">
        <v>1</v>
      </c>
      <c r="E140" s="342"/>
      <c r="F140" s="478">
        <f t="shared" si="6"/>
        <v>0</v>
      </c>
      <c r="G140" s="326"/>
      <c r="H140" s="326"/>
      <c r="I140" s="326"/>
      <c r="J140" s="326"/>
      <c r="K140" s="326"/>
      <c r="L140" s="326"/>
      <c r="M140" s="326"/>
    </row>
    <row r="141" spans="1:13" s="325" customFormat="1" ht="15">
      <c r="A141" s="418">
        <v>14</v>
      </c>
      <c r="B141" s="338" t="s">
        <v>391</v>
      </c>
      <c r="C141" s="338" t="s">
        <v>317</v>
      </c>
      <c r="D141" s="437">
        <v>1</v>
      </c>
      <c r="E141" s="342"/>
      <c r="F141" s="478">
        <f t="shared" si="6"/>
        <v>0</v>
      </c>
      <c r="G141" s="326"/>
      <c r="H141" s="326"/>
      <c r="I141" s="326"/>
      <c r="J141" s="326"/>
      <c r="K141" s="326"/>
      <c r="L141" s="326"/>
      <c r="M141" s="326"/>
    </row>
    <row r="142" spans="1:13" s="325" customFormat="1" ht="15">
      <c r="A142" s="418">
        <v>15</v>
      </c>
      <c r="B142" s="338" t="s">
        <v>392</v>
      </c>
      <c r="C142" s="338" t="s">
        <v>317</v>
      </c>
      <c r="D142" s="437">
        <v>5</v>
      </c>
      <c r="E142" s="342"/>
      <c r="F142" s="478">
        <f t="shared" si="6"/>
        <v>0</v>
      </c>
      <c r="G142" s="326"/>
      <c r="H142" s="326"/>
      <c r="I142" s="326"/>
      <c r="J142" s="326"/>
      <c r="K142" s="326"/>
      <c r="L142" s="326"/>
      <c r="M142" s="326"/>
    </row>
    <row r="143" spans="1:13" s="325" customFormat="1" ht="25.5">
      <c r="A143" s="418">
        <v>16</v>
      </c>
      <c r="B143" s="338" t="s">
        <v>330</v>
      </c>
      <c r="C143" s="338" t="s">
        <v>314</v>
      </c>
      <c r="D143" s="437">
        <v>4</v>
      </c>
      <c r="E143" s="342"/>
      <c r="F143" s="478">
        <f t="shared" si="6"/>
        <v>0</v>
      </c>
      <c r="G143" s="326"/>
      <c r="H143" s="326"/>
      <c r="I143" s="326"/>
      <c r="J143" s="326"/>
      <c r="K143" s="326"/>
      <c r="L143" s="326"/>
      <c r="M143" s="326"/>
    </row>
    <row r="144" spans="1:13" s="325" customFormat="1" ht="38.25">
      <c r="A144" s="421">
        <v>17</v>
      </c>
      <c r="B144" s="415" t="s">
        <v>393</v>
      </c>
      <c r="C144" s="338" t="s">
        <v>317</v>
      </c>
      <c r="D144" s="437">
        <v>1</v>
      </c>
      <c r="E144" s="342"/>
      <c r="F144" s="478">
        <f t="shared" si="6"/>
        <v>0</v>
      </c>
      <c r="G144" s="326"/>
      <c r="H144" s="326"/>
      <c r="I144" s="326"/>
      <c r="J144" s="326"/>
      <c r="K144" s="326"/>
      <c r="L144" s="326"/>
      <c r="M144" s="326"/>
    </row>
    <row r="145" spans="1:13" s="325" customFormat="1" ht="25.5">
      <c r="A145" s="418">
        <v>18</v>
      </c>
      <c r="B145" s="338" t="s">
        <v>394</v>
      </c>
      <c r="C145" s="338" t="s">
        <v>317</v>
      </c>
      <c r="D145" s="437">
        <v>1</v>
      </c>
      <c r="E145" s="342"/>
      <c r="F145" s="478">
        <f t="shared" si="6"/>
        <v>0</v>
      </c>
      <c r="G145" s="326"/>
      <c r="H145" s="326"/>
      <c r="I145" s="326"/>
      <c r="J145" s="326"/>
      <c r="K145" s="326"/>
      <c r="L145" s="326"/>
      <c r="M145" s="326"/>
    </row>
    <row r="146" spans="1:13" s="325" customFormat="1" ht="15">
      <c r="A146" s="418">
        <v>19</v>
      </c>
      <c r="B146" s="338" t="s">
        <v>333</v>
      </c>
      <c r="C146" s="338" t="s">
        <v>317</v>
      </c>
      <c r="D146" s="437">
        <v>1</v>
      </c>
      <c r="E146" s="342"/>
      <c r="F146" s="478">
        <f t="shared" si="6"/>
        <v>0</v>
      </c>
      <c r="G146" s="326"/>
      <c r="H146" s="326"/>
      <c r="I146" s="326"/>
      <c r="J146" s="326"/>
      <c r="K146" s="326"/>
      <c r="L146" s="326"/>
      <c r="M146" s="326"/>
    </row>
    <row r="147" spans="1:13" s="325" customFormat="1" ht="15">
      <c r="A147" s="418">
        <v>20</v>
      </c>
      <c r="B147" s="338" t="s">
        <v>334</v>
      </c>
      <c r="C147" s="338" t="s">
        <v>317</v>
      </c>
      <c r="D147" s="437">
        <v>1</v>
      </c>
      <c r="E147" s="342"/>
      <c r="F147" s="478">
        <f t="shared" si="6"/>
        <v>0</v>
      </c>
      <c r="G147" s="326"/>
      <c r="H147" s="326"/>
      <c r="I147" s="326"/>
      <c r="J147" s="326"/>
      <c r="K147" s="326"/>
      <c r="L147" s="326"/>
      <c r="M147" s="326"/>
    </row>
    <row r="148" spans="1:13" s="325" customFormat="1" ht="25.5">
      <c r="A148" s="418">
        <v>21</v>
      </c>
      <c r="B148" s="338" t="s">
        <v>335</v>
      </c>
      <c r="C148" s="338" t="s">
        <v>314</v>
      </c>
      <c r="D148" s="437">
        <v>1</v>
      </c>
      <c r="E148" s="342"/>
      <c r="F148" s="478">
        <f t="shared" si="6"/>
        <v>0</v>
      </c>
      <c r="G148" s="326"/>
      <c r="H148" s="326"/>
      <c r="I148" s="326"/>
      <c r="J148" s="326"/>
      <c r="K148" s="326"/>
      <c r="L148" s="326"/>
      <c r="M148" s="326"/>
    </row>
    <row r="149" spans="1:13" s="325" customFormat="1" ht="15">
      <c r="A149" s="418">
        <v>22</v>
      </c>
      <c r="B149" s="338" t="s">
        <v>336</v>
      </c>
      <c r="C149" s="338" t="s">
        <v>314</v>
      </c>
      <c r="D149" s="437">
        <v>1</v>
      </c>
      <c r="E149" s="342"/>
      <c r="F149" s="478">
        <f t="shared" si="6"/>
        <v>0</v>
      </c>
      <c r="G149" s="326"/>
      <c r="H149" s="326"/>
      <c r="I149" s="326"/>
      <c r="J149" s="326"/>
      <c r="K149" s="326"/>
      <c r="L149" s="326"/>
      <c r="M149" s="326"/>
    </row>
    <row r="150" spans="1:13" s="325" customFormat="1" ht="25.5">
      <c r="A150" s="415"/>
      <c r="B150" s="338" t="s">
        <v>337</v>
      </c>
      <c r="C150" s="338" t="s">
        <v>314</v>
      </c>
      <c r="D150" s="437">
        <v>2</v>
      </c>
      <c r="E150" s="342"/>
      <c r="F150" s="478">
        <f t="shared" si="6"/>
        <v>0</v>
      </c>
      <c r="G150" s="326"/>
      <c r="H150" s="326"/>
      <c r="I150" s="326"/>
      <c r="J150" s="326"/>
      <c r="K150" s="326"/>
      <c r="L150" s="326"/>
      <c r="M150" s="326"/>
    </row>
    <row r="151" spans="1:13" s="325" customFormat="1" ht="15">
      <c r="A151" s="418">
        <v>23</v>
      </c>
      <c r="B151" s="338" t="s">
        <v>338</v>
      </c>
      <c r="C151" s="338" t="s">
        <v>314</v>
      </c>
      <c r="D151" s="437">
        <v>2</v>
      </c>
      <c r="E151" s="342"/>
      <c r="F151" s="478">
        <f t="shared" si="6"/>
        <v>0</v>
      </c>
      <c r="G151" s="326"/>
      <c r="H151" s="326"/>
      <c r="I151" s="326"/>
      <c r="J151" s="326"/>
      <c r="K151" s="326"/>
      <c r="L151" s="326"/>
      <c r="M151" s="326"/>
    </row>
    <row r="152" spans="1:13" s="325" customFormat="1" ht="15">
      <c r="A152" s="418">
        <v>24</v>
      </c>
      <c r="B152" s="338" t="s">
        <v>339</v>
      </c>
      <c r="C152" s="338" t="s">
        <v>395</v>
      </c>
      <c r="D152" s="437">
        <v>2</v>
      </c>
      <c r="E152" s="342"/>
      <c r="F152" s="478">
        <f t="shared" si="6"/>
        <v>0</v>
      </c>
      <c r="G152" s="326"/>
      <c r="H152" s="326"/>
      <c r="I152" s="326"/>
      <c r="J152" s="326"/>
      <c r="K152" s="326"/>
      <c r="L152" s="326"/>
      <c r="M152" s="326"/>
    </row>
    <row r="153" spans="1:13" s="325" customFormat="1" ht="15">
      <c r="A153" s="338" t="s">
        <v>396</v>
      </c>
      <c r="B153" s="338" t="s">
        <v>340</v>
      </c>
      <c r="C153" s="338" t="s">
        <v>314</v>
      </c>
      <c r="D153" s="437">
        <v>3</v>
      </c>
      <c r="E153" s="342"/>
      <c r="F153" s="478">
        <f t="shared" si="6"/>
        <v>0</v>
      </c>
      <c r="G153" s="326"/>
      <c r="H153" s="326"/>
      <c r="I153" s="326"/>
      <c r="J153" s="326"/>
      <c r="K153" s="326"/>
      <c r="L153" s="326"/>
      <c r="M153" s="326"/>
    </row>
    <row r="154" spans="1:13" s="325" customFormat="1" ht="15">
      <c r="A154" s="418">
        <v>26</v>
      </c>
      <c r="B154" s="338" t="s">
        <v>341</v>
      </c>
      <c r="C154" s="338" t="s">
        <v>314</v>
      </c>
      <c r="D154" s="437">
        <v>2</v>
      </c>
      <c r="E154" s="342"/>
      <c r="F154" s="478">
        <f t="shared" si="6"/>
        <v>0</v>
      </c>
      <c r="G154" s="326"/>
      <c r="H154" s="326"/>
      <c r="I154" s="326"/>
      <c r="J154" s="326"/>
      <c r="K154" s="326"/>
      <c r="L154" s="326"/>
      <c r="M154" s="326"/>
    </row>
    <row r="155" spans="1:13" s="325" customFormat="1" ht="15">
      <c r="A155" s="418">
        <v>27</v>
      </c>
      <c r="B155" s="338" t="s">
        <v>342</v>
      </c>
      <c r="C155" s="338" t="s">
        <v>314</v>
      </c>
      <c r="D155" s="437">
        <v>2</v>
      </c>
      <c r="E155" s="342"/>
      <c r="F155" s="478">
        <f t="shared" si="6"/>
        <v>0</v>
      </c>
      <c r="G155" s="326"/>
      <c r="H155" s="326"/>
      <c r="I155" s="326"/>
      <c r="J155" s="326"/>
      <c r="K155" s="326"/>
      <c r="L155" s="326"/>
      <c r="M155" s="326"/>
    </row>
    <row r="156" spans="1:13" s="325" customFormat="1" ht="25.5">
      <c r="A156" s="418">
        <v>28</v>
      </c>
      <c r="B156" s="338" t="s">
        <v>343</v>
      </c>
      <c r="C156" s="338" t="s">
        <v>317</v>
      </c>
      <c r="D156" s="437">
        <v>2</v>
      </c>
      <c r="E156" s="342"/>
      <c r="F156" s="478">
        <f t="shared" si="6"/>
        <v>0</v>
      </c>
      <c r="G156" s="326"/>
      <c r="H156" s="326"/>
      <c r="I156" s="326"/>
      <c r="J156" s="326"/>
      <c r="K156" s="326"/>
      <c r="L156" s="326"/>
      <c r="M156" s="326"/>
    </row>
    <row r="157" spans="1:13" s="325" customFormat="1" ht="15">
      <c r="A157" s="418">
        <v>29</v>
      </c>
      <c r="B157" s="338" t="s">
        <v>397</v>
      </c>
      <c r="C157" s="338" t="s">
        <v>317</v>
      </c>
      <c r="D157" s="437">
        <v>2</v>
      </c>
      <c r="E157" s="342"/>
      <c r="F157" s="478">
        <f t="shared" si="6"/>
        <v>0</v>
      </c>
      <c r="G157" s="326"/>
      <c r="H157" s="326"/>
      <c r="I157" s="326"/>
      <c r="J157" s="326"/>
      <c r="K157" s="326"/>
      <c r="L157" s="326"/>
      <c r="M157" s="326"/>
    </row>
    <row r="158" spans="1:13" s="325" customFormat="1" ht="25.5">
      <c r="A158" s="418">
        <v>30</v>
      </c>
      <c r="B158" s="338" t="s">
        <v>398</v>
      </c>
      <c r="C158" s="338" t="s">
        <v>317</v>
      </c>
      <c r="D158" s="437">
        <v>1</v>
      </c>
      <c r="E158" s="342"/>
      <c r="F158" s="478">
        <f t="shared" si="6"/>
        <v>0</v>
      </c>
      <c r="G158" s="326"/>
      <c r="H158" s="326"/>
      <c r="I158" s="326"/>
      <c r="J158" s="326"/>
      <c r="K158" s="326"/>
      <c r="L158" s="326"/>
      <c r="M158" s="326"/>
    </row>
    <row r="159" spans="1:13" s="325" customFormat="1" ht="25.5">
      <c r="A159" s="418">
        <v>31</v>
      </c>
      <c r="B159" s="338" t="s">
        <v>399</v>
      </c>
      <c r="C159" s="338" t="s">
        <v>317</v>
      </c>
      <c r="D159" s="437">
        <v>1</v>
      </c>
      <c r="E159" s="342"/>
      <c r="F159" s="478">
        <f t="shared" si="6"/>
        <v>0</v>
      </c>
      <c r="G159" s="326"/>
      <c r="H159" s="326"/>
      <c r="I159" s="326"/>
      <c r="J159" s="326"/>
      <c r="K159" s="326"/>
      <c r="L159" s="326"/>
      <c r="M159" s="326"/>
    </row>
    <row r="160" spans="1:13" s="325" customFormat="1" ht="15">
      <c r="A160" s="418">
        <v>32</v>
      </c>
      <c r="B160" s="338" t="s">
        <v>347</v>
      </c>
      <c r="C160" s="338" t="s">
        <v>317</v>
      </c>
      <c r="D160" s="437">
        <v>1</v>
      </c>
      <c r="E160" s="342"/>
      <c r="F160" s="478">
        <f t="shared" si="6"/>
        <v>0</v>
      </c>
      <c r="G160" s="326"/>
      <c r="H160" s="326"/>
      <c r="I160" s="326"/>
      <c r="J160" s="326"/>
      <c r="K160" s="326"/>
      <c r="L160" s="326"/>
      <c r="M160" s="326"/>
    </row>
    <row r="161" spans="1:13" s="325" customFormat="1" ht="25.5">
      <c r="A161" s="418">
        <v>33</v>
      </c>
      <c r="B161" s="338" t="s">
        <v>348</v>
      </c>
      <c r="C161" s="338" t="s">
        <v>317</v>
      </c>
      <c r="D161" s="437">
        <v>2</v>
      </c>
      <c r="E161" s="342"/>
      <c r="F161" s="478">
        <f t="shared" si="6"/>
        <v>0</v>
      </c>
      <c r="G161" s="326"/>
      <c r="H161" s="326"/>
      <c r="I161" s="326"/>
      <c r="J161" s="326"/>
      <c r="K161" s="326"/>
      <c r="L161" s="326"/>
      <c r="M161" s="326"/>
    </row>
    <row r="162" spans="1:13" s="325" customFormat="1" ht="25.5">
      <c r="A162" s="418">
        <v>34</v>
      </c>
      <c r="B162" s="338" t="s">
        <v>349</v>
      </c>
      <c r="C162" s="338" t="s">
        <v>317</v>
      </c>
      <c r="D162" s="437">
        <v>1</v>
      </c>
      <c r="E162" s="342"/>
      <c r="F162" s="478">
        <f t="shared" si="6"/>
        <v>0</v>
      </c>
      <c r="G162" s="326"/>
      <c r="H162" s="326"/>
      <c r="I162" s="326"/>
      <c r="J162" s="326"/>
      <c r="K162" s="326"/>
      <c r="L162" s="326"/>
      <c r="M162" s="326"/>
    </row>
    <row r="163" spans="1:13" s="325" customFormat="1" ht="25.5">
      <c r="A163" s="418">
        <v>35</v>
      </c>
      <c r="B163" s="338" t="s">
        <v>350</v>
      </c>
      <c r="C163" s="338" t="s">
        <v>314</v>
      </c>
      <c r="D163" s="437">
        <v>2</v>
      </c>
      <c r="E163" s="342"/>
      <c r="F163" s="478">
        <f t="shared" si="6"/>
        <v>0</v>
      </c>
      <c r="G163" s="326"/>
      <c r="H163" s="326"/>
      <c r="I163" s="326"/>
      <c r="J163" s="326"/>
      <c r="K163" s="326"/>
      <c r="L163" s="326"/>
      <c r="M163" s="326"/>
    </row>
    <row r="164" spans="1:13" s="325" customFormat="1" ht="15">
      <c r="A164" s="418">
        <v>36</v>
      </c>
      <c r="B164" s="338" t="s">
        <v>351</v>
      </c>
      <c r="C164" s="338" t="s">
        <v>314</v>
      </c>
      <c r="D164" s="437">
        <v>2</v>
      </c>
      <c r="E164" s="342"/>
      <c r="F164" s="478">
        <f t="shared" si="6"/>
        <v>0</v>
      </c>
      <c r="G164" s="326"/>
      <c r="H164" s="326"/>
      <c r="I164" s="326"/>
      <c r="J164" s="326"/>
      <c r="K164" s="326"/>
      <c r="L164" s="326"/>
      <c r="M164" s="326"/>
    </row>
    <row r="165" spans="1:13" s="325" customFormat="1" ht="25.5">
      <c r="A165" s="418">
        <v>37</v>
      </c>
      <c r="B165" s="338" t="s">
        <v>400</v>
      </c>
      <c r="C165" s="338" t="s">
        <v>314</v>
      </c>
      <c r="D165" s="437">
        <v>5</v>
      </c>
      <c r="E165" s="342"/>
      <c r="F165" s="478">
        <f t="shared" si="6"/>
        <v>0</v>
      </c>
      <c r="G165" s="326"/>
      <c r="H165" s="326"/>
      <c r="I165" s="326"/>
      <c r="J165" s="326"/>
      <c r="K165" s="326"/>
      <c r="L165" s="326"/>
      <c r="M165" s="326"/>
    </row>
    <row r="166" spans="1:13" s="325" customFormat="1" ht="25.5">
      <c r="A166" s="418">
        <v>38</v>
      </c>
      <c r="B166" s="338" t="s">
        <v>353</v>
      </c>
      <c r="C166" s="338" t="s">
        <v>314</v>
      </c>
      <c r="D166" s="437">
        <v>2</v>
      </c>
      <c r="E166" s="342"/>
      <c r="F166" s="478">
        <f t="shared" si="6"/>
        <v>0</v>
      </c>
      <c r="G166" s="326"/>
      <c r="H166" s="326"/>
      <c r="I166" s="326"/>
      <c r="J166" s="326"/>
      <c r="K166" s="326"/>
      <c r="L166" s="326"/>
      <c r="M166" s="326"/>
    </row>
    <row r="167" spans="1:13" s="325" customFormat="1" ht="25.5">
      <c r="A167" s="418">
        <v>39</v>
      </c>
      <c r="B167" s="338" t="s">
        <v>401</v>
      </c>
      <c r="C167" s="338" t="s">
        <v>317</v>
      </c>
      <c r="D167" s="437">
        <v>4</v>
      </c>
      <c r="E167" s="342"/>
      <c r="F167" s="478">
        <f t="shared" si="6"/>
        <v>0</v>
      </c>
      <c r="G167" s="326"/>
      <c r="H167" s="326"/>
      <c r="I167" s="326"/>
      <c r="J167" s="326"/>
      <c r="K167" s="326"/>
      <c r="L167" s="326"/>
      <c r="M167" s="326"/>
    </row>
    <row r="168" spans="1:13" s="325" customFormat="1" ht="15">
      <c r="A168" s="418">
        <v>40</v>
      </c>
      <c r="B168" s="438" t="s">
        <v>469</v>
      </c>
      <c r="C168" s="338" t="s">
        <v>317</v>
      </c>
      <c r="D168" s="437">
        <v>1</v>
      </c>
      <c r="E168" s="342"/>
      <c r="F168" s="478">
        <f t="shared" si="6"/>
        <v>0</v>
      </c>
      <c r="G168" s="326"/>
      <c r="H168" s="326"/>
      <c r="I168" s="326"/>
      <c r="J168" s="326"/>
      <c r="K168" s="326"/>
      <c r="L168" s="326"/>
      <c r="M168" s="326"/>
    </row>
    <row r="169" spans="1:13" s="325" customFormat="1" ht="15">
      <c r="A169" s="418">
        <v>41</v>
      </c>
      <c r="B169" s="338" t="s">
        <v>356</v>
      </c>
      <c r="C169" s="338" t="s">
        <v>317</v>
      </c>
      <c r="D169" s="437">
        <v>1</v>
      </c>
      <c r="E169" s="342"/>
      <c r="F169" s="478">
        <f t="shared" si="6"/>
        <v>0</v>
      </c>
      <c r="G169" s="326"/>
      <c r="H169" s="326"/>
      <c r="I169" s="326"/>
      <c r="J169" s="326"/>
      <c r="K169" s="326"/>
      <c r="L169" s="326"/>
      <c r="M169" s="326"/>
    </row>
    <row r="170" spans="1:13" s="325" customFormat="1" ht="25.5">
      <c r="A170" s="418">
        <v>42</v>
      </c>
      <c r="B170" s="338" t="s">
        <v>357</v>
      </c>
      <c r="C170" s="338" t="s">
        <v>317</v>
      </c>
      <c r="D170" s="437">
        <v>2</v>
      </c>
      <c r="E170" s="342"/>
      <c r="F170" s="478">
        <f t="shared" si="6"/>
        <v>0</v>
      </c>
      <c r="G170" s="326"/>
      <c r="H170" s="326"/>
      <c r="I170" s="326"/>
      <c r="J170" s="326"/>
      <c r="K170" s="326"/>
      <c r="L170" s="326"/>
      <c r="M170" s="326"/>
    </row>
    <row r="171" spans="1:13" s="325" customFormat="1" ht="15">
      <c r="A171" s="338" t="s">
        <v>402</v>
      </c>
      <c r="B171" s="338" t="s">
        <v>358</v>
      </c>
      <c r="C171" s="338" t="s">
        <v>317</v>
      </c>
      <c r="D171" s="437">
        <v>1</v>
      </c>
      <c r="E171" s="342"/>
      <c r="F171" s="478">
        <f t="shared" si="6"/>
        <v>0</v>
      </c>
      <c r="G171" s="326"/>
      <c r="H171" s="326"/>
      <c r="I171" s="326"/>
      <c r="J171" s="326"/>
      <c r="K171" s="326"/>
      <c r="L171" s="326"/>
      <c r="M171" s="326"/>
    </row>
    <row r="172" spans="1:13" s="325" customFormat="1" ht="25.5">
      <c r="A172" s="418">
        <v>44</v>
      </c>
      <c r="B172" s="338" t="s">
        <v>359</v>
      </c>
      <c r="C172" s="338" t="s">
        <v>317</v>
      </c>
      <c r="D172" s="437">
        <v>1</v>
      </c>
      <c r="E172" s="342"/>
      <c r="F172" s="478">
        <f t="shared" si="6"/>
        <v>0</v>
      </c>
      <c r="G172" s="326"/>
      <c r="H172" s="326"/>
      <c r="I172" s="326"/>
      <c r="J172" s="326"/>
      <c r="K172" s="326"/>
      <c r="L172" s="326"/>
      <c r="M172" s="326"/>
    </row>
    <row r="173" spans="1:13" s="325" customFormat="1" ht="25.5">
      <c r="A173" s="418">
        <v>45</v>
      </c>
      <c r="B173" s="338" t="s">
        <v>403</v>
      </c>
      <c r="C173" s="338" t="s">
        <v>314</v>
      </c>
      <c r="D173" s="437">
        <v>1</v>
      </c>
      <c r="E173" s="342"/>
      <c r="F173" s="478">
        <f t="shared" si="6"/>
        <v>0</v>
      </c>
      <c r="G173" s="326"/>
      <c r="H173" s="326"/>
      <c r="I173" s="326"/>
      <c r="J173" s="326"/>
      <c r="K173" s="326"/>
      <c r="L173" s="326"/>
      <c r="M173" s="326"/>
    </row>
    <row r="174" spans="1:13" s="325" customFormat="1" ht="25.5">
      <c r="A174" s="418">
        <v>46</v>
      </c>
      <c r="B174" s="338" t="s">
        <v>361</v>
      </c>
      <c r="C174" s="338" t="s">
        <v>307</v>
      </c>
      <c r="D174" s="437">
        <v>10</v>
      </c>
      <c r="E174" s="342"/>
      <c r="F174" s="478">
        <f t="shared" si="6"/>
        <v>0</v>
      </c>
      <c r="G174" s="326"/>
      <c r="H174" s="326"/>
      <c r="I174" s="326"/>
      <c r="J174" s="326"/>
      <c r="K174" s="326"/>
      <c r="L174" s="326"/>
      <c r="M174" s="326"/>
    </row>
    <row r="175" spans="1:13" s="325" customFormat="1" ht="25.5">
      <c r="A175" s="418">
        <v>47</v>
      </c>
      <c r="B175" s="338" t="s">
        <v>404</v>
      </c>
      <c r="C175" s="338" t="s">
        <v>307</v>
      </c>
      <c r="D175" s="437">
        <v>30</v>
      </c>
      <c r="E175" s="342"/>
      <c r="F175" s="478">
        <f t="shared" si="6"/>
        <v>0</v>
      </c>
      <c r="G175" s="326"/>
      <c r="H175" s="326"/>
      <c r="I175" s="326"/>
      <c r="J175" s="326"/>
      <c r="K175" s="326"/>
      <c r="L175" s="326"/>
      <c r="M175" s="326"/>
    </row>
    <row r="176" spans="1:13" s="325" customFormat="1" ht="15">
      <c r="A176" s="418">
        <v>48</v>
      </c>
      <c r="B176" s="338" t="s">
        <v>363</v>
      </c>
      <c r="C176" s="338" t="s">
        <v>314</v>
      </c>
      <c r="D176" s="437">
        <v>1</v>
      </c>
      <c r="E176" s="342"/>
      <c r="F176" s="478">
        <f t="shared" si="6"/>
        <v>0</v>
      </c>
      <c r="G176" s="326"/>
      <c r="H176" s="326"/>
      <c r="I176" s="326"/>
      <c r="J176" s="326"/>
      <c r="K176" s="326"/>
      <c r="L176" s="326"/>
      <c r="M176" s="326"/>
    </row>
    <row r="177" spans="1:13" s="325" customFormat="1" ht="15">
      <c r="A177" s="418">
        <v>49</v>
      </c>
      <c r="B177" s="338" t="s">
        <v>364</v>
      </c>
      <c r="C177" s="338" t="s">
        <v>314</v>
      </c>
      <c r="D177" s="437">
        <v>1</v>
      </c>
      <c r="E177" s="342"/>
      <c r="F177" s="478">
        <f t="shared" si="6"/>
        <v>0</v>
      </c>
      <c r="G177" s="326"/>
      <c r="H177" s="326"/>
      <c r="I177" s="326"/>
      <c r="J177" s="326"/>
      <c r="K177" s="326"/>
      <c r="L177" s="326"/>
      <c r="M177" s="326"/>
    </row>
    <row r="178" spans="1:13" s="325" customFormat="1" ht="25.5">
      <c r="A178" s="418">
        <v>50</v>
      </c>
      <c r="B178" s="338" t="s">
        <v>405</v>
      </c>
      <c r="C178" s="338" t="s">
        <v>314</v>
      </c>
      <c r="D178" s="439">
        <v>1</v>
      </c>
      <c r="E178" s="342"/>
      <c r="F178" s="478">
        <f t="shared" si="6"/>
        <v>0</v>
      </c>
      <c r="G178" s="366"/>
      <c r="H178" s="366"/>
      <c r="J178" s="367"/>
      <c r="K178" s="367"/>
      <c r="L178" s="367"/>
      <c r="M178" s="367"/>
    </row>
    <row r="179" spans="1:13" s="325" customFormat="1" ht="15">
      <c r="A179" s="440"/>
      <c r="B179" s="348" t="s">
        <v>366</v>
      </c>
      <c r="C179" s="347"/>
      <c r="D179" s="347"/>
      <c r="E179" s="347"/>
      <c r="F179" s="482">
        <f>SUM(F128:F178)</f>
        <v>0</v>
      </c>
      <c r="G179" s="338"/>
      <c r="H179" s="338"/>
      <c r="I179" s="338"/>
      <c r="J179" s="338"/>
      <c r="K179" s="338"/>
      <c r="L179" s="338"/>
      <c r="M179" s="338"/>
    </row>
    <row r="180" spans="1:13" s="325" customFormat="1" ht="15">
      <c r="A180" s="352"/>
      <c r="B180" s="440"/>
      <c r="C180" s="440"/>
      <c r="D180" s="440"/>
      <c r="E180" s="440"/>
      <c r="F180" s="485"/>
    </row>
    <row r="181" spans="1:13" s="275" customFormat="1" ht="15.75" thickBot="1">
      <c r="A181" s="349" t="s">
        <v>276</v>
      </c>
      <c r="B181" s="350" t="s">
        <v>170</v>
      </c>
      <c r="C181" s="351"/>
      <c r="D181" s="441"/>
      <c r="E181" s="354" t="s">
        <v>62</v>
      </c>
      <c r="F181" s="486">
        <f>F179+F123+F115+F107</f>
        <v>0</v>
      </c>
    </row>
    <row r="182" spans="1:13" ht="13.5" thickTop="1">
      <c r="A182" s="48"/>
      <c r="B182" s="330"/>
      <c r="C182" s="60"/>
      <c r="D182" s="442"/>
      <c r="E182" s="356"/>
      <c r="F182" s="487"/>
    </row>
    <row r="183" spans="1:13">
      <c r="A183" s="48"/>
      <c r="B183" s="330"/>
      <c r="C183" s="60"/>
      <c r="D183" s="442"/>
      <c r="E183" s="356"/>
      <c r="F183" s="487"/>
    </row>
    <row r="184" spans="1:13" ht="15">
      <c r="A184" s="48"/>
      <c r="B184" s="331" t="s">
        <v>215</v>
      </c>
      <c r="C184" s="60"/>
      <c r="D184" s="442"/>
      <c r="E184" s="356"/>
      <c r="F184" s="487"/>
    </row>
    <row r="185" spans="1:13">
      <c r="A185" s="48"/>
      <c r="B185" s="330"/>
      <c r="C185" s="60"/>
      <c r="D185" s="442"/>
      <c r="E185" s="356"/>
      <c r="F185" s="487"/>
    </row>
    <row r="186" spans="1:13" s="275" customFormat="1" ht="15">
      <c r="A186" s="285" t="s">
        <v>275</v>
      </c>
      <c r="B186" s="328" t="s">
        <v>169</v>
      </c>
      <c r="C186" s="300"/>
      <c r="D186" s="443"/>
      <c r="E186" s="357"/>
      <c r="F186" s="487">
        <f>F89</f>
        <v>0</v>
      </c>
    </row>
    <row r="187" spans="1:13" s="275" customFormat="1" ht="15">
      <c r="A187" s="285" t="s">
        <v>276</v>
      </c>
      <c r="B187" s="328" t="s">
        <v>170</v>
      </c>
      <c r="C187" s="300"/>
      <c r="D187" s="443"/>
      <c r="E187" s="357"/>
      <c r="F187" s="487">
        <f>F181</f>
        <v>0</v>
      </c>
    </row>
    <row r="188" spans="1:13">
      <c r="A188" s="48"/>
      <c r="B188" s="60"/>
      <c r="D188" s="442"/>
      <c r="E188" s="356"/>
      <c r="F188" s="487"/>
    </row>
    <row r="189" spans="1:13" s="306" customFormat="1" ht="16.5" thickBot="1">
      <c r="A189" s="318" t="s">
        <v>207</v>
      </c>
      <c r="B189" s="264" t="s">
        <v>272</v>
      </c>
      <c r="C189" s="444"/>
      <c r="D189" s="422"/>
      <c r="E189" s="358" t="s">
        <v>62</v>
      </c>
      <c r="F189" s="483">
        <f>SUM(F186:F187)</f>
        <v>0</v>
      </c>
    </row>
    <row r="190" spans="1:13" ht="13.5" thickTop="1"/>
  </sheetData>
  <conditionalFormatting sqref="E112:E114 E118:E124 E97:E106 E13:E32">
    <cfRule type="cellIs" dxfId="3" priority="3" operator="equal">
      <formula>0</formula>
    </cfRule>
  </conditionalFormatting>
  <conditionalFormatting sqref="E36:E86">
    <cfRule type="cellIs" dxfId="1" priority="2" operator="equal">
      <formula>0</formula>
    </cfRule>
  </conditionalFormatting>
  <conditionalFormatting sqref="E128:E178">
    <cfRule type="cellIs" dxfId="0" priority="1" operator="equal">
      <formula>0</formula>
    </cfRule>
  </conditionalFormatting>
  <pageMargins left="0.78740157480314965" right="0.19685039370078741" top="0.59055118110236227" bottom="0.59055118110236227" header="0" footer="0.19685039370078741"/>
  <pageSetup paperSize="9" orientation="portrait" r:id="rId1"/>
  <headerFooter>
    <oddFooter>&amp;CStran &amp;P</oddFooter>
  </headerFooter>
  <rowBreaks count="1" manualBreakCount="1">
    <brk id="11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showZeros="0" tabSelected="1" topLeftCell="A16" workbookViewId="0">
      <selection activeCell="C34" sqref="C34"/>
    </sheetView>
  </sheetViews>
  <sheetFormatPr defaultRowHeight="12.75"/>
  <cols>
    <col min="1" max="1" width="4.7109375" style="36" customWidth="1"/>
    <col min="2" max="2" width="56.85546875" style="20" customWidth="1"/>
    <col min="3" max="3" width="15.42578125" style="18" customWidth="1"/>
    <col min="4" max="4" width="11.85546875" style="457" customWidth="1"/>
    <col min="5" max="5" width="9.140625" style="4"/>
    <col min="6" max="6" width="12.7109375" style="4" customWidth="1"/>
    <col min="7" max="255" width="9.140625" style="4"/>
    <col min="256" max="256" width="17.5703125" style="4" customWidth="1"/>
    <col min="257" max="257" width="42.42578125" style="4" customWidth="1"/>
    <col min="258" max="258" width="9.140625" style="4"/>
    <col min="259" max="259" width="20.7109375" style="4" customWidth="1"/>
    <col min="260" max="511" width="9.140625" style="4"/>
    <col min="512" max="512" width="17.5703125" style="4" customWidth="1"/>
    <col min="513" max="513" width="42.42578125" style="4" customWidth="1"/>
    <col min="514" max="514" width="9.140625" style="4"/>
    <col min="515" max="515" width="20.7109375" style="4" customWidth="1"/>
    <col min="516" max="767" width="9.140625" style="4"/>
    <col min="768" max="768" width="17.5703125" style="4" customWidth="1"/>
    <col min="769" max="769" width="42.42578125" style="4" customWidth="1"/>
    <col min="770" max="770" width="9.140625" style="4"/>
    <col min="771" max="771" width="20.7109375" style="4" customWidth="1"/>
    <col min="772" max="1023" width="9.140625" style="4"/>
    <col min="1024" max="1024" width="17.5703125" style="4" customWidth="1"/>
    <col min="1025" max="1025" width="42.42578125" style="4" customWidth="1"/>
    <col min="1026" max="1026" width="9.140625" style="4"/>
    <col min="1027" max="1027" width="20.7109375" style="4" customWidth="1"/>
    <col min="1028" max="1279" width="9.140625" style="4"/>
    <col min="1280" max="1280" width="17.5703125" style="4" customWidth="1"/>
    <col min="1281" max="1281" width="42.42578125" style="4" customWidth="1"/>
    <col min="1282" max="1282" width="9.140625" style="4"/>
    <col min="1283" max="1283" width="20.7109375" style="4" customWidth="1"/>
    <col min="1284" max="1535" width="9.140625" style="4"/>
    <col min="1536" max="1536" width="17.5703125" style="4" customWidth="1"/>
    <col min="1537" max="1537" width="42.42578125" style="4" customWidth="1"/>
    <col min="1538" max="1538" width="9.140625" style="4"/>
    <col min="1539" max="1539" width="20.7109375" style="4" customWidth="1"/>
    <col min="1540" max="1791" width="9.140625" style="4"/>
    <col min="1792" max="1792" width="17.5703125" style="4" customWidth="1"/>
    <col min="1793" max="1793" width="42.42578125" style="4" customWidth="1"/>
    <col min="1794" max="1794" width="9.140625" style="4"/>
    <col min="1795" max="1795" width="20.7109375" style="4" customWidth="1"/>
    <col min="1796" max="2047" width="9.140625" style="4"/>
    <col min="2048" max="2048" width="17.5703125" style="4" customWidth="1"/>
    <col min="2049" max="2049" width="42.42578125" style="4" customWidth="1"/>
    <col min="2050" max="2050" width="9.140625" style="4"/>
    <col min="2051" max="2051" width="20.7109375" style="4" customWidth="1"/>
    <col min="2052" max="2303" width="9.140625" style="4"/>
    <col min="2304" max="2304" width="17.5703125" style="4" customWidth="1"/>
    <col min="2305" max="2305" width="42.42578125" style="4" customWidth="1"/>
    <col min="2306" max="2306" width="9.140625" style="4"/>
    <col min="2307" max="2307" width="20.7109375" style="4" customWidth="1"/>
    <col min="2308" max="2559" width="9.140625" style="4"/>
    <col min="2560" max="2560" width="17.5703125" style="4" customWidth="1"/>
    <col min="2561" max="2561" width="42.42578125" style="4" customWidth="1"/>
    <col min="2562" max="2562" width="9.140625" style="4"/>
    <col min="2563" max="2563" width="20.7109375" style="4" customWidth="1"/>
    <col min="2564" max="2815" width="9.140625" style="4"/>
    <col min="2816" max="2816" width="17.5703125" style="4" customWidth="1"/>
    <col min="2817" max="2817" width="42.42578125" style="4" customWidth="1"/>
    <col min="2818" max="2818" width="9.140625" style="4"/>
    <col min="2819" max="2819" width="20.7109375" style="4" customWidth="1"/>
    <col min="2820" max="3071" width="9.140625" style="4"/>
    <col min="3072" max="3072" width="17.5703125" style="4" customWidth="1"/>
    <col min="3073" max="3073" width="42.42578125" style="4" customWidth="1"/>
    <col min="3074" max="3074" width="9.140625" style="4"/>
    <col min="3075" max="3075" width="20.7109375" style="4" customWidth="1"/>
    <col min="3076" max="3327" width="9.140625" style="4"/>
    <col min="3328" max="3328" width="17.5703125" style="4" customWidth="1"/>
    <col min="3329" max="3329" width="42.42578125" style="4" customWidth="1"/>
    <col min="3330" max="3330" width="9.140625" style="4"/>
    <col min="3331" max="3331" width="20.7109375" style="4" customWidth="1"/>
    <col min="3332" max="3583" width="9.140625" style="4"/>
    <col min="3584" max="3584" width="17.5703125" style="4" customWidth="1"/>
    <col min="3585" max="3585" width="42.42578125" style="4" customWidth="1"/>
    <col min="3586" max="3586" width="9.140625" style="4"/>
    <col min="3587" max="3587" width="20.7109375" style="4" customWidth="1"/>
    <col min="3588" max="3839" width="9.140625" style="4"/>
    <col min="3840" max="3840" width="17.5703125" style="4" customWidth="1"/>
    <col min="3841" max="3841" width="42.42578125" style="4" customWidth="1"/>
    <col min="3842" max="3842" width="9.140625" style="4"/>
    <col min="3843" max="3843" width="20.7109375" style="4" customWidth="1"/>
    <col min="3844" max="4095" width="9.140625" style="4"/>
    <col min="4096" max="4096" width="17.5703125" style="4" customWidth="1"/>
    <col min="4097" max="4097" width="42.42578125" style="4" customWidth="1"/>
    <col min="4098" max="4098" width="9.140625" style="4"/>
    <col min="4099" max="4099" width="20.7109375" style="4" customWidth="1"/>
    <col min="4100" max="4351" width="9.140625" style="4"/>
    <col min="4352" max="4352" width="17.5703125" style="4" customWidth="1"/>
    <col min="4353" max="4353" width="42.42578125" style="4" customWidth="1"/>
    <col min="4354" max="4354" width="9.140625" style="4"/>
    <col min="4355" max="4355" width="20.7109375" style="4" customWidth="1"/>
    <col min="4356" max="4607" width="9.140625" style="4"/>
    <col min="4608" max="4608" width="17.5703125" style="4" customWidth="1"/>
    <col min="4609" max="4609" width="42.42578125" style="4" customWidth="1"/>
    <col min="4610" max="4610" width="9.140625" style="4"/>
    <col min="4611" max="4611" width="20.7109375" style="4" customWidth="1"/>
    <col min="4612" max="4863" width="9.140625" style="4"/>
    <col min="4864" max="4864" width="17.5703125" style="4" customWidth="1"/>
    <col min="4865" max="4865" width="42.42578125" style="4" customWidth="1"/>
    <col min="4866" max="4866" width="9.140625" style="4"/>
    <col min="4867" max="4867" width="20.7109375" style="4" customWidth="1"/>
    <col min="4868" max="5119" width="9.140625" style="4"/>
    <col min="5120" max="5120" width="17.5703125" style="4" customWidth="1"/>
    <col min="5121" max="5121" width="42.42578125" style="4" customWidth="1"/>
    <col min="5122" max="5122" width="9.140625" style="4"/>
    <col min="5123" max="5123" width="20.7109375" style="4" customWidth="1"/>
    <col min="5124" max="5375" width="9.140625" style="4"/>
    <col min="5376" max="5376" width="17.5703125" style="4" customWidth="1"/>
    <col min="5377" max="5377" width="42.42578125" style="4" customWidth="1"/>
    <col min="5378" max="5378" width="9.140625" style="4"/>
    <col min="5379" max="5379" width="20.7109375" style="4" customWidth="1"/>
    <col min="5380" max="5631" width="9.140625" style="4"/>
    <col min="5632" max="5632" width="17.5703125" style="4" customWidth="1"/>
    <col min="5633" max="5633" width="42.42578125" style="4" customWidth="1"/>
    <col min="5634" max="5634" width="9.140625" style="4"/>
    <col min="5635" max="5635" width="20.7109375" style="4" customWidth="1"/>
    <col min="5636" max="5887" width="9.140625" style="4"/>
    <col min="5888" max="5888" width="17.5703125" style="4" customWidth="1"/>
    <col min="5889" max="5889" width="42.42578125" style="4" customWidth="1"/>
    <col min="5890" max="5890" width="9.140625" style="4"/>
    <col min="5891" max="5891" width="20.7109375" style="4" customWidth="1"/>
    <col min="5892" max="6143" width="9.140625" style="4"/>
    <col min="6144" max="6144" width="17.5703125" style="4" customWidth="1"/>
    <col min="6145" max="6145" width="42.42578125" style="4" customWidth="1"/>
    <col min="6146" max="6146" width="9.140625" style="4"/>
    <col min="6147" max="6147" width="20.7109375" style="4" customWidth="1"/>
    <col min="6148" max="6399" width="9.140625" style="4"/>
    <col min="6400" max="6400" width="17.5703125" style="4" customWidth="1"/>
    <col min="6401" max="6401" width="42.42578125" style="4" customWidth="1"/>
    <col min="6402" max="6402" width="9.140625" style="4"/>
    <col min="6403" max="6403" width="20.7109375" style="4" customWidth="1"/>
    <col min="6404" max="6655" width="9.140625" style="4"/>
    <col min="6656" max="6656" width="17.5703125" style="4" customWidth="1"/>
    <col min="6657" max="6657" width="42.42578125" style="4" customWidth="1"/>
    <col min="6658" max="6658" width="9.140625" style="4"/>
    <col min="6659" max="6659" width="20.7109375" style="4" customWidth="1"/>
    <col min="6660" max="6911" width="9.140625" style="4"/>
    <col min="6912" max="6912" width="17.5703125" style="4" customWidth="1"/>
    <col min="6913" max="6913" width="42.42578125" style="4" customWidth="1"/>
    <col min="6914" max="6914" width="9.140625" style="4"/>
    <col min="6915" max="6915" width="20.7109375" style="4" customWidth="1"/>
    <col min="6916" max="7167" width="9.140625" style="4"/>
    <col min="7168" max="7168" width="17.5703125" style="4" customWidth="1"/>
    <col min="7169" max="7169" width="42.42578125" style="4" customWidth="1"/>
    <col min="7170" max="7170" width="9.140625" style="4"/>
    <col min="7171" max="7171" width="20.7109375" style="4" customWidth="1"/>
    <col min="7172" max="7423" width="9.140625" style="4"/>
    <col min="7424" max="7424" width="17.5703125" style="4" customWidth="1"/>
    <col min="7425" max="7425" width="42.42578125" style="4" customWidth="1"/>
    <col min="7426" max="7426" width="9.140625" style="4"/>
    <col min="7427" max="7427" width="20.7109375" style="4" customWidth="1"/>
    <col min="7428" max="7679" width="9.140625" style="4"/>
    <col min="7680" max="7680" width="17.5703125" style="4" customWidth="1"/>
    <col min="7681" max="7681" width="42.42578125" style="4" customWidth="1"/>
    <col min="7682" max="7682" width="9.140625" style="4"/>
    <col min="7683" max="7683" width="20.7109375" style="4" customWidth="1"/>
    <col min="7684" max="7935" width="9.140625" style="4"/>
    <col min="7936" max="7936" width="17.5703125" style="4" customWidth="1"/>
    <col min="7937" max="7937" width="42.42578125" style="4" customWidth="1"/>
    <col min="7938" max="7938" width="9.140625" style="4"/>
    <col min="7939" max="7939" width="20.7109375" style="4" customWidth="1"/>
    <col min="7940" max="8191" width="9.140625" style="4"/>
    <col min="8192" max="8192" width="17.5703125" style="4" customWidth="1"/>
    <col min="8193" max="8193" width="42.42578125" style="4" customWidth="1"/>
    <col min="8194" max="8194" width="9.140625" style="4"/>
    <col min="8195" max="8195" width="20.7109375" style="4" customWidth="1"/>
    <col min="8196" max="8447" width="9.140625" style="4"/>
    <col min="8448" max="8448" width="17.5703125" style="4" customWidth="1"/>
    <col min="8449" max="8449" width="42.42578125" style="4" customWidth="1"/>
    <col min="8450" max="8450" width="9.140625" style="4"/>
    <col min="8451" max="8451" width="20.7109375" style="4" customWidth="1"/>
    <col min="8452" max="8703" width="9.140625" style="4"/>
    <col min="8704" max="8704" width="17.5703125" style="4" customWidth="1"/>
    <col min="8705" max="8705" width="42.42578125" style="4" customWidth="1"/>
    <col min="8706" max="8706" width="9.140625" style="4"/>
    <col min="8707" max="8707" width="20.7109375" style="4" customWidth="1"/>
    <col min="8708" max="8959" width="9.140625" style="4"/>
    <col min="8960" max="8960" width="17.5703125" style="4" customWidth="1"/>
    <col min="8961" max="8961" width="42.42578125" style="4" customWidth="1"/>
    <col min="8962" max="8962" width="9.140625" style="4"/>
    <col min="8963" max="8963" width="20.7109375" style="4" customWidth="1"/>
    <col min="8964" max="9215" width="9.140625" style="4"/>
    <col min="9216" max="9216" width="17.5703125" style="4" customWidth="1"/>
    <col min="9217" max="9217" width="42.42578125" style="4" customWidth="1"/>
    <col min="9218" max="9218" width="9.140625" style="4"/>
    <col min="9219" max="9219" width="20.7109375" style="4" customWidth="1"/>
    <col min="9220" max="9471" width="9.140625" style="4"/>
    <col min="9472" max="9472" width="17.5703125" style="4" customWidth="1"/>
    <col min="9473" max="9473" width="42.42578125" style="4" customWidth="1"/>
    <col min="9474" max="9474" width="9.140625" style="4"/>
    <col min="9475" max="9475" width="20.7109375" style="4" customWidth="1"/>
    <col min="9476" max="9727" width="9.140625" style="4"/>
    <col min="9728" max="9728" width="17.5703125" style="4" customWidth="1"/>
    <col min="9729" max="9729" width="42.42578125" style="4" customWidth="1"/>
    <col min="9730" max="9730" width="9.140625" style="4"/>
    <col min="9731" max="9731" width="20.7109375" style="4" customWidth="1"/>
    <col min="9732" max="9983" width="9.140625" style="4"/>
    <col min="9984" max="9984" width="17.5703125" style="4" customWidth="1"/>
    <col min="9985" max="9985" width="42.42578125" style="4" customWidth="1"/>
    <col min="9986" max="9986" width="9.140625" style="4"/>
    <col min="9987" max="9987" width="20.7109375" style="4" customWidth="1"/>
    <col min="9988" max="10239" width="9.140625" style="4"/>
    <col min="10240" max="10240" width="17.5703125" style="4" customWidth="1"/>
    <col min="10241" max="10241" width="42.42578125" style="4" customWidth="1"/>
    <col min="10242" max="10242" width="9.140625" style="4"/>
    <col min="10243" max="10243" width="20.7109375" style="4" customWidth="1"/>
    <col min="10244" max="10495" width="9.140625" style="4"/>
    <col min="10496" max="10496" width="17.5703125" style="4" customWidth="1"/>
    <col min="10497" max="10497" width="42.42578125" style="4" customWidth="1"/>
    <col min="10498" max="10498" width="9.140625" style="4"/>
    <col min="10499" max="10499" width="20.7109375" style="4" customWidth="1"/>
    <col min="10500" max="10751" width="9.140625" style="4"/>
    <col min="10752" max="10752" width="17.5703125" style="4" customWidth="1"/>
    <col min="10753" max="10753" width="42.42578125" style="4" customWidth="1"/>
    <col min="10754" max="10754" width="9.140625" style="4"/>
    <col min="10755" max="10755" width="20.7109375" style="4" customWidth="1"/>
    <col min="10756" max="11007" width="9.140625" style="4"/>
    <col min="11008" max="11008" width="17.5703125" style="4" customWidth="1"/>
    <col min="11009" max="11009" width="42.42578125" style="4" customWidth="1"/>
    <col min="11010" max="11010" width="9.140625" style="4"/>
    <col min="11011" max="11011" width="20.7109375" style="4" customWidth="1"/>
    <col min="11012" max="11263" width="9.140625" style="4"/>
    <col min="11264" max="11264" width="17.5703125" style="4" customWidth="1"/>
    <col min="11265" max="11265" width="42.42578125" style="4" customWidth="1"/>
    <col min="11266" max="11266" width="9.140625" style="4"/>
    <col min="11267" max="11267" width="20.7109375" style="4" customWidth="1"/>
    <col min="11268" max="11519" width="9.140625" style="4"/>
    <col min="11520" max="11520" width="17.5703125" style="4" customWidth="1"/>
    <col min="11521" max="11521" width="42.42578125" style="4" customWidth="1"/>
    <col min="11522" max="11522" width="9.140625" style="4"/>
    <col min="11523" max="11523" width="20.7109375" style="4" customWidth="1"/>
    <col min="11524" max="11775" width="9.140625" style="4"/>
    <col min="11776" max="11776" width="17.5703125" style="4" customWidth="1"/>
    <col min="11777" max="11777" width="42.42578125" style="4" customWidth="1"/>
    <col min="11778" max="11778" width="9.140625" style="4"/>
    <col min="11779" max="11779" width="20.7109375" style="4" customWidth="1"/>
    <col min="11780" max="12031" width="9.140625" style="4"/>
    <col min="12032" max="12032" width="17.5703125" style="4" customWidth="1"/>
    <col min="12033" max="12033" width="42.42578125" style="4" customWidth="1"/>
    <col min="12034" max="12034" width="9.140625" style="4"/>
    <col min="12035" max="12035" width="20.7109375" style="4" customWidth="1"/>
    <col min="12036" max="12287" width="9.140625" style="4"/>
    <col min="12288" max="12288" width="17.5703125" style="4" customWidth="1"/>
    <col min="12289" max="12289" width="42.42578125" style="4" customWidth="1"/>
    <col min="12290" max="12290" width="9.140625" style="4"/>
    <col min="12291" max="12291" width="20.7109375" style="4" customWidth="1"/>
    <col min="12292" max="12543" width="9.140625" style="4"/>
    <col min="12544" max="12544" width="17.5703125" style="4" customWidth="1"/>
    <col min="12545" max="12545" width="42.42578125" style="4" customWidth="1"/>
    <col min="12546" max="12546" width="9.140625" style="4"/>
    <col min="12547" max="12547" width="20.7109375" style="4" customWidth="1"/>
    <col min="12548" max="12799" width="9.140625" style="4"/>
    <col min="12800" max="12800" width="17.5703125" style="4" customWidth="1"/>
    <col min="12801" max="12801" width="42.42578125" style="4" customWidth="1"/>
    <col min="12802" max="12802" width="9.140625" style="4"/>
    <col min="12803" max="12803" width="20.7109375" style="4" customWidth="1"/>
    <col min="12804" max="13055" width="9.140625" style="4"/>
    <col min="13056" max="13056" width="17.5703125" style="4" customWidth="1"/>
    <col min="13057" max="13057" width="42.42578125" style="4" customWidth="1"/>
    <col min="13058" max="13058" width="9.140625" style="4"/>
    <col min="13059" max="13059" width="20.7109375" style="4" customWidth="1"/>
    <col min="13060" max="13311" width="9.140625" style="4"/>
    <col min="13312" max="13312" width="17.5703125" style="4" customWidth="1"/>
    <col min="13313" max="13313" width="42.42578125" style="4" customWidth="1"/>
    <col min="13314" max="13314" width="9.140625" style="4"/>
    <col min="13315" max="13315" width="20.7109375" style="4" customWidth="1"/>
    <col min="13316" max="13567" width="9.140625" style="4"/>
    <col min="13568" max="13568" width="17.5703125" style="4" customWidth="1"/>
    <col min="13569" max="13569" width="42.42578125" style="4" customWidth="1"/>
    <col min="13570" max="13570" width="9.140625" style="4"/>
    <col min="13571" max="13571" width="20.7109375" style="4" customWidth="1"/>
    <col min="13572" max="13823" width="9.140625" style="4"/>
    <col min="13824" max="13824" width="17.5703125" style="4" customWidth="1"/>
    <col min="13825" max="13825" width="42.42578125" style="4" customWidth="1"/>
    <col min="13826" max="13826" width="9.140625" style="4"/>
    <col min="13827" max="13827" width="20.7109375" style="4" customWidth="1"/>
    <col min="13828" max="14079" width="9.140625" style="4"/>
    <col min="14080" max="14080" width="17.5703125" style="4" customWidth="1"/>
    <col min="14081" max="14081" width="42.42578125" style="4" customWidth="1"/>
    <col min="14082" max="14082" width="9.140625" style="4"/>
    <col min="14083" max="14083" width="20.7109375" style="4" customWidth="1"/>
    <col min="14084" max="14335" width="9.140625" style="4"/>
    <col min="14336" max="14336" width="17.5703125" style="4" customWidth="1"/>
    <col min="14337" max="14337" width="42.42578125" style="4" customWidth="1"/>
    <col min="14338" max="14338" width="9.140625" style="4"/>
    <col min="14339" max="14339" width="20.7109375" style="4" customWidth="1"/>
    <col min="14340" max="14591" width="9.140625" style="4"/>
    <col min="14592" max="14592" width="17.5703125" style="4" customWidth="1"/>
    <col min="14593" max="14593" width="42.42578125" style="4" customWidth="1"/>
    <col min="14594" max="14594" width="9.140625" style="4"/>
    <col min="14595" max="14595" width="20.7109375" style="4" customWidth="1"/>
    <col min="14596" max="14847" width="9.140625" style="4"/>
    <col min="14848" max="14848" width="17.5703125" style="4" customWidth="1"/>
    <col min="14849" max="14849" width="42.42578125" style="4" customWidth="1"/>
    <col min="14850" max="14850" width="9.140625" style="4"/>
    <col min="14851" max="14851" width="20.7109375" style="4" customWidth="1"/>
    <col min="14852" max="15103" width="9.140625" style="4"/>
    <col min="15104" max="15104" width="17.5703125" style="4" customWidth="1"/>
    <col min="15105" max="15105" width="42.42578125" style="4" customWidth="1"/>
    <col min="15106" max="15106" width="9.140625" style="4"/>
    <col min="15107" max="15107" width="20.7109375" style="4" customWidth="1"/>
    <col min="15108" max="15359" width="9.140625" style="4"/>
    <col min="15360" max="15360" width="17.5703125" style="4" customWidth="1"/>
    <col min="15361" max="15361" width="42.42578125" style="4" customWidth="1"/>
    <col min="15362" max="15362" width="9.140625" style="4"/>
    <col min="15363" max="15363" width="20.7109375" style="4" customWidth="1"/>
    <col min="15364" max="15615" width="9.140625" style="4"/>
    <col min="15616" max="15616" width="17.5703125" style="4" customWidth="1"/>
    <col min="15617" max="15617" width="42.42578125" style="4" customWidth="1"/>
    <col min="15618" max="15618" width="9.140625" style="4"/>
    <col min="15619" max="15619" width="20.7109375" style="4" customWidth="1"/>
    <col min="15620" max="15871" width="9.140625" style="4"/>
    <col min="15872" max="15872" width="17.5703125" style="4" customWidth="1"/>
    <col min="15873" max="15873" width="42.42578125" style="4" customWidth="1"/>
    <col min="15874" max="15874" width="9.140625" style="4"/>
    <col min="15875" max="15875" width="20.7109375" style="4" customWidth="1"/>
    <col min="15876" max="16127" width="9.140625" style="4"/>
    <col min="16128" max="16128" width="17.5703125" style="4" customWidth="1"/>
    <col min="16129" max="16129" width="42.42578125" style="4" customWidth="1"/>
    <col min="16130" max="16130" width="9.140625" style="4"/>
    <col min="16131" max="16131" width="20.7109375" style="4" customWidth="1"/>
    <col min="16132" max="16384" width="9.140625" style="4"/>
  </cols>
  <sheetData>
    <row r="1" spans="1:7" ht="15.75">
      <c r="B1" s="17" t="s">
        <v>27</v>
      </c>
      <c r="C1" s="37"/>
      <c r="D1" s="455"/>
      <c r="E1" s="37"/>
      <c r="F1" s="37"/>
      <c r="G1" s="38"/>
    </row>
    <row r="2" spans="1:7" ht="15.75">
      <c r="B2" s="17" t="s">
        <v>28</v>
      </c>
      <c r="C2" s="17"/>
      <c r="D2" s="456"/>
      <c r="E2" s="37"/>
      <c r="F2" s="37"/>
      <c r="G2" s="38"/>
    </row>
    <row r="3" spans="1:7" ht="15.75">
      <c r="B3" s="81" t="s">
        <v>249</v>
      </c>
      <c r="C3" s="19"/>
      <c r="D3" s="455"/>
      <c r="E3" s="37"/>
      <c r="F3" s="37"/>
      <c r="G3" s="38"/>
    </row>
    <row r="4" spans="1:7" ht="26.25" customHeight="1"/>
    <row r="5" spans="1:7" ht="26.25" customHeight="1"/>
    <row r="6" spans="1:7" ht="26.25">
      <c r="B6" s="21" t="s">
        <v>12</v>
      </c>
    </row>
    <row r="7" spans="1:7" ht="26.25">
      <c r="B7" s="21"/>
    </row>
    <row r="8" spans="1:7" ht="26.25">
      <c r="B8" s="21"/>
    </row>
    <row r="9" spans="1:7" s="24" customFormat="1" ht="15.75">
      <c r="A9" s="22">
        <v>1</v>
      </c>
      <c r="B9" s="23" t="s">
        <v>105</v>
      </c>
      <c r="C9" s="243">
        <f>+Rfk!M21</f>
        <v>0</v>
      </c>
      <c r="D9" s="457"/>
    </row>
    <row r="10" spans="1:7" s="24" customFormat="1" ht="15.75">
      <c r="A10" s="22"/>
      <c r="B10" s="23"/>
      <c r="C10" s="243"/>
      <c r="D10" s="457"/>
    </row>
    <row r="11" spans="1:7" s="24" customFormat="1" ht="15.75">
      <c r="A11" s="22">
        <f>+A9+1</f>
        <v>2</v>
      </c>
      <c r="B11" s="23" t="s">
        <v>106</v>
      </c>
      <c r="C11" s="243">
        <f>+Rmet!M18</f>
        <v>0</v>
      </c>
      <c r="D11" s="457"/>
    </row>
    <row r="12" spans="1:7" s="24" customFormat="1" ht="15.75">
      <c r="A12" s="22"/>
      <c r="B12" s="23"/>
      <c r="C12" s="243"/>
      <c r="D12" s="457"/>
    </row>
    <row r="13" spans="1:7" s="24" customFormat="1" ht="15.75">
      <c r="A13" s="22">
        <v>3</v>
      </c>
      <c r="B13" s="23" t="s">
        <v>208</v>
      </c>
      <c r="C13" s="243"/>
      <c r="D13" s="457"/>
    </row>
    <row r="14" spans="1:7" s="24" customFormat="1" ht="15.75">
      <c r="A14" s="22"/>
      <c r="B14" s="270" t="s">
        <v>169</v>
      </c>
      <c r="C14" s="243">
        <f>'ČRP-1218'!G88</f>
        <v>0</v>
      </c>
      <c r="D14" s="457"/>
    </row>
    <row r="15" spans="1:7" s="24" customFormat="1" ht="15.75">
      <c r="A15" s="22"/>
      <c r="B15" s="270" t="s">
        <v>170</v>
      </c>
      <c r="C15" s="243">
        <f>'ČRP-19'!G86</f>
        <v>0</v>
      </c>
      <c r="D15" s="457"/>
    </row>
    <row r="16" spans="1:7" s="24" customFormat="1" ht="15.75">
      <c r="A16" s="22"/>
      <c r="B16" s="23"/>
      <c r="C16" s="243"/>
      <c r="D16" s="457"/>
    </row>
    <row r="17" spans="1:6" s="24" customFormat="1" ht="15.75">
      <c r="A17" s="22">
        <f>+A13+1</f>
        <v>4</v>
      </c>
      <c r="B17" s="129" t="s">
        <v>209</v>
      </c>
      <c r="C17" s="243"/>
      <c r="D17" s="457"/>
    </row>
    <row r="18" spans="1:6" s="24" customFormat="1" ht="15.75">
      <c r="A18" s="22"/>
      <c r="B18" s="270" t="s">
        <v>169</v>
      </c>
      <c r="C18" s="243">
        <f>+crpELgd!G49</f>
        <v>0</v>
      </c>
      <c r="D18" s="457"/>
    </row>
    <row r="19" spans="1:6" s="24" customFormat="1" ht="15.75">
      <c r="A19" s="22"/>
      <c r="B19" s="270" t="s">
        <v>170</v>
      </c>
      <c r="C19" s="243">
        <f>+crpELgd!G50</f>
        <v>0</v>
      </c>
      <c r="D19" s="457"/>
    </row>
    <row r="20" spans="1:6" s="24" customFormat="1" ht="15.75">
      <c r="A20" s="22"/>
      <c r="B20" s="270"/>
      <c r="C20" s="243"/>
      <c r="D20" s="457"/>
    </row>
    <row r="21" spans="1:6" s="24" customFormat="1" ht="25.5">
      <c r="A21" s="22">
        <v>5</v>
      </c>
      <c r="B21" s="270" t="s">
        <v>220</v>
      </c>
      <c r="C21" s="243"/>
      <c r="D21" s="457"/>
    </row>
    <row r="22" spans="1:6" s="24" customFormat="1" ht="15.75">
      <c r="A22" s="22"/>
      <c r="B22" s="270" t="s">
        <v>169</v>
      </c>
      <c r="C22" s="243">
        <f>'Elektroinst '!F186</f>
        <v>0</v>
      </c>
      <c r="D22" s="457"/>
    </row>
    <row r="23" spans="1:6" s="24" customFormat="1" ht="15.75">
      <c r="A23" s="22"/>
      <c r="B23" s="270" t="s">
        <v>170</v>
      </c>
      <c r="C23" s="243">
        <f>'Elektroinst '!F187</f>
        <v>0</v>
      </c>
      <c r="D23" s="457"/>
    </row>
    <row r="24" spans="1:6" s="24" customFormat="1" ht="15.75">
      <c r="A24" s="22"/>
      <c r="B24" s="270"/>
      <c r="C24" s="243"/>
      <c r="D24" s="457"/>
    </row>
    <row r="25" spans="1:6" s="24" customFormat="1" ht="15.75">
      <c r="A25" s="22"/>
      <c r="B25" s="270" t="s">
        <v>480</v>
      </c>
      <c r="C25" s="243">
        <f>C14+C15+C18+C19+C22+C23</f>
        <v>0</v>
      </c>
      <c r="D25" s="457"/>
    </row>
    <row r="26" spans="1:6" s="24" customFormat="1" ht="15.75">
      <c r="A26" s="22"/>
      <c r="B26" s="270"/>
      <c r="C26" s="243"/>
      <c r="D26" s="457"/>
    </row>
    <row r="27" spans="1:6" s="24" customFormat="1" ht="15.75">
      <c r="A27" s="22">
        <v>6</v>
      </c>
      <c r="B27" s="270" t="s">
        <v>471</v>
      </c>
      <c r="C27" s="243">
        <f>(C9+C11+C14+C15+C18+C19+C22+C23)*0.1</f>
        <v>0</v>
      </c>
      <c r="D27" s="457"/>
    </row>
    <row r="28" spans="1:6" s="24" customFormat="1" ht="18">
      <c r="A28" s="40"/>
      <c r="B28" s="41"/>
      <c r="C28" s="244"/>
      <c r="D28" s="459"/>
      <c r="F28" s="39"/>
    </row>
    <row r="29" spans="1:6" s="24" customFormat="1" ht="15.75">
      <c r="A29" s="42"/>
      <c r="B29" s="27" t="s">
        <v>62</v>
      </c>
      <c r="C29" s="245">
        <f>C9+C11+C14+C15+C18+C19+C22+C23+C27</f>
        <v>0</v>
      </c>
      <c r="D29" s="457"/>
      <c r="F29" s="23"/>
    </row>
    <row r="30" spans="1:6" s="24" customFormat="1" ht="15.75">
      <c r="A30" s="42"/>
      <c r="B30" s="23"/>
      <c r="C30" s="245"/>
      <c r="D30" s="457"/>
      <c r="F30" s="23"/>
    </row>
    <row r="31" spans="1:6" s="24" customFormat="1" ht="15.75">
      <c r="A31" s="42"/>
      <c r="B31" s="23"/>
      <c r="C31" s="245"/>
      <c r="D31" s="457"/>
      <c r="F31" s="23"/>
    </row>
    <row r="32" spans="1:6" s="24" customFormat="1" ht="15.75">
      <c r="A32" s="42"/>
      <c r="B32" s="23"/>
      <c r="C32" s="245"/>
      <c r="D32" s="457"/>
      <c r="F32" s="23"/>
    </row>
    <row r="33" spans="1:6" s="24" customFormat="1" ht="15.75">
      <c r="A33" s="22"/>
      <c r="B33" s="26"/>
      <c r="C33" s="243"/>
      <c r="D33" s="459"/>
      <c r="F33" s="26"/>
    </row>
    <row r="34" spans="1:6" s="24" customFormat="1" ht="16.5" thickBot="1">
      <c r="A34" s="22"/>
      <c r="B34" s="27" t="s">
        <v>9</v>
      </c>
      <c r="C34" s="460">
        <f>C29</f>
        <v>0</v>
      </c>
      <c r="D34" s="457"/>
    </row>
    <row r="35" spans="1:6" s="24" customFormat="1" ht="16.5" thickTop="1">
      <c r="A35" s="22"/>
      <c r="B35" s="28" t="s">
        <v>10</v>
      </c>
      <c r="C35" s="461">
        <f>C34*22%</f>
        <v>0</v>
      </c>
      <c r="D35" s="457"/>
    </row>
    <row r="36" spans="1:6" s="24" customFormat="1" ht="15.75">
      <c r="A36" s="22"/>
      <c r="B36" s="29"/>
      <c r="C36" s="243"/>
      <c r="D36" s="459"/>
    </row>
    <row r="37" spans="1:6" s="32" customFormat="1" ht="19.5" thickBot="1">
      <c r="A37" s="43"/>
      <c r="B37" s="31" t="s">
        <v>11</v>
      </c>
      <c r="C37" s="462">
        <f>+C35+C34</f>
        <v>0</v>
      </c>
      <c r="D37" s="458"/>
    </row>
    <row r="38" spans="1:6" s="24" customFormat="1" ht="16.5" thickTop="1">
      <c r="A38" s="22"/>
      <c r="B38" s="29"/>
      <c r="C38" s="33"/>
      <c r="D38" s="457"/>
    </row>
    <row r="39" spans="1:6" s="24" customFormat="1" ht="15.75">
      <c r="A39" s="22"/>
      <c r="B39" s="29"/>
      <c r="C39" s="33"/>
      <c r="D39" s="457"/>
    </row>
    <row r="40" spans="1:6" s="24" customFormat="1" ht="15.75">
      <c r="A40" s="22"/>
      <c r="B40" s="29"/>
      <c r="C40" s="33"/>
      <c r="D40" s="457"/>
    </row>
    <row r="41" spans="1:6" s="24" customFormat="1" ht="15.75">
      <c r="A41" s="22"/>
      <c r="B41" s="35"/>
      <c r="C41" s="33"/>
      <c r="D41" s="457"/>
    </row>
    <row r="46" spans="1:6">
      <c r="B46" s="34"/>
    </row>
    <row r="48" spans="1:6">
      <c r="B48" s="34"/>
    </row>
    <row r="49" spans="2:2">
      <c r="B49" s="34"/>
    </row>
    <row r="57" spans="2:2" ht="15.75">
      <c r="B57" s="35"/>
    </row>
  </sheetData>
  <pageMargins left="0.68" right="0.39370078740157483" top="0.44" bottom="0.59055118110236227" header="0" footer="0.3937007874015748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M37"/>
  <sheetViews>
    <sheetView showZeros="0" workbookViewId="0">
      <selection activeCell="C34" sqref="C34"/>
    </sheetView>
  </sheetViews>
  <sheetFormatPr defaultRowHeight="12.75"/>
  <cols>
    <col min="1" max="1" width="4.7109375" style="92" customWidth="1"/>
    <col min="2" max="2" width="1.7109375" style="92" customWidth="1"/>
    <col min="3" max="3" width="19.7109375" style="16" customWidth="1"/>
    <col min="4" max="4" width="1.7109375" style="16" customWidth="1"/>
    <col min="5" max="5" width="19.7109375" style="53" customWidth="1"/>
    <col min="6" max="6" width="1.7109375" style="53" customWidth="1"/>
    <col min="7" max="7" width="19.7109375" style="83" customWidth="1"/>
    <col min="8" max="8" width="1.7109375" style="83" customWidth="1"/>
    <col min="9" max="9" width="19.7109375" style="84" customWidth="1"/>
    <col min="10" max="10" width="1.7109375" style="84" customWidth="1"/>
    <col min="11" max="11" width="19.7109375" style="84" customWidth="1"/>
    <col min="12" max="12" width="1.7109375" style="84" customWidth="1"/>
    <col min="13" max="13" width="20.7109375" style="84" customWidth="1"/>
    <col min="14" max="253" width="9.140625" style="4"/>
    <col min="254" max="254" width="17.5703125" style="4" customWidth="1"/>
    <col min="255" max="255" width="42.42578125" style="4" customWidth="1"/>
    <col min="256" max="256" width="9.140625" style="4"/>
    <col min="257" max="257" width="20.7109375" style="4" customWidth="1"/>
    <col min="258" max="509" width="9.140625" style="4"/>
    <col min="510" max="510" width="17.5703125" style="4" customWidth="1"/>
    <col min="511" max="511" width="42.42578125" style="4" customWidth="1"/>
    <col min="512" max="512" width="9.140625" style="4"/>
    <col min="513" max="513" width="20.7109375" style="4" customWidth="1"/>
    <col min="514" max="765" width="9.140625" style="4"/>
    <col min="766" max="766" width="17.5703125" style="4" customWidth="1"/>
    <col min="767" max="767" width="42.42578125" style="4" customWidth="1"/>
    <col min="768" max="768" width="9.140625" style="4"/>
    <col min="769" max="769" width="20.7109375" style="4" customWidth="1"/>
    <col min="770" max="1021" width="9.140625" style="4"/>
    <col min="1022" max="1022" width="17.5703125" style="4" customWidth="1"/>
    <col min="1023" max="1023" width="42.42578125" style="4" customWidth="1"/>
    <col min="1024" max="1024" width="9.140625" style="4"/>
    <col min="1025" max="1025" width="20.7109375" style="4" customWidth="1"/>
    <col min="1026" max="1277" width="9.140625" style="4"/>
    <col min="1278" max="1278" width="17.5703125" style="4" customWidth="1"/>
    <col min="1279" max="1279" width="42.42578125" style="4" customWidth="1"/>
    <col min="1280" max="1280" width="9.140625" style="4"/>
    <col min="1281" max="1281" width="20.7109375" style="4" customWidth="1"/>
    <col min="1282" max="1533" width="9.140625" style="4"/>
    <col min="1534" max="1534" width="17.5703125" style="4" customWidth="1"/>
    <col min="1535" max="1535" width="42.42578125" style="4" customWidth="1"/>
    <col min="1536" max="1536" width="9.140625" style="4"/>
    <col min="1537" max="1537" width="20.7109375" style="4" customWidth="1"/>
    <col min="1538" max="1789" width="9.140625" style="4"/>
    <col min="1790" max="1790" width="17.5703125" style="4" customWidth="1"/>
    <col min="1791" max="1791" width="42.42578125" style="4" customWidth="1"/>
    <col min="1792" max="1792" width="9.140625" style="4"/>
    <col min="1793" max="1793" width="20.7109375" style="4" customWidth="1"/>
    <col min="1794" max="2045" width="9.140625" style="4"/>
    <col min="2046" max="2046" width="17.5703125" style="4" customWidth="1"/>
    <col min="2047" max="2047" width="42.42578125" style="4" customWidth="1"/>
    <col min="2048" max="2048" width="9.140625" style="4"/>
    <col min="2049" max="2049" width="20.7109375" style="4" customWidth="1"/>
    <col min="2050" max="2301" width="9.140625" style="4"/>
    <col min="2302" max="2302" width="17.5703125" style="4" customWidth="1"/>
    <col min="2303" max="2303" width="42.42578125" style="4" customWidth="1"/>
    <col min="2304" max="2304" width="9.140625" style="4"/>
    <col min="2305" max="2305" width="20.7109375" style="4" customWidth="1"/>
    <col min="2306" max="2557" width="9.140625" style="4"/>
    <col min="2558" max="2558" width="17.5703125" style="4" customWidth="1"/>
    <col min="2559" max="2559" width="42.42578125" style="4" customWidth="1"/>
    <col min="2560" max="2560" width="9.140625" style="4"/>
    <col min="2561" max="2561" width="20.7109375" style="4" customWidth="1"/>
    <col min="2562" max="2813" width="9.140625" style="4"/>
    <col min="2814" max="2814" width="17.5703125" style="4" customWidth="1"/>
    <col min="2815" max="2815" width="42.42578125" style="4" customWidth="1"/>
    <col min="2816" max="2816" width="9.140625" style="4"/>
    <col min="2817" max="2817" width="20.7109375" style="4" customWidth="1"/>
    <col min="2818" max="3069" width="9.140625" style="4"/>
    <col min="3070" max="3070" width="17.5703125" style="4" customWidth="1"/>
    <col min="3071" max="3071" width="42.42578125" style="4" customWidth="1"/>
    <col min="3072" max="3072" width="9.140625" style="4"/>
    <col min="3073" max="3073" width="20.7109375" style="4" customWidth="1"/>
    <col min="3074" max="3325" width="9.140625" style="4"/>
    <col min="3326" max="3326" width="17.5703125" style="4" customWidth="1"/>
    <col min="3327" max="3327" width="42.42578125" style="4" customWidth="1"/>
    <col min="3328" max="3328" width="9.140625" style="4"/>
    <col min="3329" max="3329" width="20.7109375" style="4" customWidth="1"/>
    <col min="3330" max="3581" width="9.140625" style="4"/>
    <col min="3582" max="3582" width="17.5703125" style="4" customWidth="1"/>
    <col min="3583" max="3583" width="42.42578125" style="4" customWidth="1"/>
    <col min="3584" max="3584" width="9.140625" style="4"/>
    <col min="3585" max="3585" width="20.7109375" style="4" customWidth="1"/>
    <col min="3586" max="3837" width="9.140625" style="4"/>
    <col min="3838" max="3838" width="17.5703125" style="4" customWidth="1"/>
    <col min="3839" max="3839" width="42.42578125" style="4" customWidth="1"/>
    <col min="3840" max="3840" width="9.140625" style="4"/>
    <col min="3841" max="3841" width="20.7109375" style="4" customWidth="1"/>
    <col min="3842" max="4093" width="9.140625" style="4"/>
    <col min="4094" max="4094" width="17.5703125" style="4" customWidth="1"/>
    <col min="4095" max="4095" width="42.42578125" style="4" customWidth="1"/>
    <col min="4096" max="4096" width="9.140625" style="4"/>
    <col min="4097" max="4097" width="20.7109375" style="4" customWidth="1"/>
    <col min="4098" max="4349" width="9.140625" style="4"/>
    <col min="4350" max="4350" width="17.5703125" style="4" customWidth="1"/>
    <col min="4351" max="4351" width="42.42578125" style="4" customWidth="1"/>
    <col min="4352" max="4352" width="9.140625" style="4"/>
    <col min="4353" max="4353" width="20.7109375" style="4" customWidth="1"/>
    <col min="4354" max="4605" width="9.140625" style="4"/>
    <col min="4606" max="4606" width="17.5703125" style="4" customWidth="1"/>
    <col min="4607" max="4607" width="42.42578125" style="4" customWidth="1"/>
    <col min="4608" max="4608" width="9.140625" style="4"/>
    <col min="4609" max="4609" width="20.7109375" style="4" customWidth="1"/>
    <col min="4610" max="4861" width="9.140625" style="4"/>
    <col min="4862" max="4862" width="17.5703125" style="4" customWidth="1"/>
    <col min="4863" max="4863" width="42.42578125" style="4" customWidth="1"/>
    <col min="4864" max="4864" width="9.140625" style="4"/>
    <col min="4865" max="4865" width="20.7109375" style="4" customWidth="1"/>
    <col min="4866" max="5117" width="9.140625" style="4"/>
    <col min="5118" max="5118" width="17.5703125" style="4" customWidth="1"/>
    <col min="5119" max="5119" width="42.42578125" style="4" customWidth="1"/>
    <col min="5120" max="5120" width="9.140625" style="4"/>
    <col min="5121" max="5121" width="20.7109375" style="4" customWidth="1"/>
    <col min="5122" max="5373" width="9.140625" style="4"/>
    <col min="5374" max="5374" width="17.5703125" style="4" customWidth="1"/>
    <col min="5375" max="5375" width="42.42578125" style="4" customWidth="1"/>
    <col min="5376" max="5376" width="9.140625" style="4"/>
    <col min="5377" max="5377" width="20.7109375" style="4" customWidth="1"/>
    <col min="5378" max="5629" width="9.140625" style="4"/>
    <col min="5630" max="5630" width="17.5703125" style="4" customWidth="1"/>
    <col min="5631" max="5631" width="42.42578125" style="4" customWidth="1"/>
    <col min="5632" max="5632" width="9.140625" style="4"/>
    <col min="5633" max="5633" width="20.7109375" style="4" customWidth="1"/>
    <col min="5634" max="5885" width="9.140625" style="4"/>
    <col min="5886" max="5886" width="17.5703125" style="4" customWidth="1"/>
    <col min="5887" max="5887" width="42.42578125" style="4" customWidth="1"/>
    <col min="5888" max="5888" width="9.140625" style="4"/>
    <col min="5889" max="5889" width="20.7109375" style="4" customWidth="1"/>
    <col min="5890" max="6141" width="9.140625" style="4"/>
    <col min="6142" max="6142" width="17.5703125" style="4" customWidth="1"/>
    <col min="6143" max="6143" width="42.42578125" style="4" customWidth="1"/>
    <col min="6144" max="6144" width="9.140625" style="4"/>
    <col min="6145" max="6145" width="20.7109375" style="4" customWidth="1"/>
    <col min="6146" max="6397" width="9.140625" style="4"/>
    <col min="6398" max="6398" width="17.5703125" style="4" customWidth="1"/>
    <col min="6399" max="6399" width="42.42578125" style="4" customWidth="1"/>
    <col min="6400" max="6400" width="9.140625" style="4"/>
    <col min="6401" max="6401" width="20.7109375" style="4" customWidth="1"/>
    <col min="6402" max="6653" width="9.140625" style="4"/>
    <col min="6654" max="6654" width="17.5703125" style="4" customWidth="1"/>
    <col min="6655" max="6655" width="42.42578125" style="4" customWidth="1"/>
    <col min="6656" max="6656" width="9.140625" style="4"/>
    <col min="6657" max="6657" width="20.7109375" style="4" customWidth="1"/>
    <col min="6658" max="6909" width="9.140625" style="4"/>
    <col min="6910" max="6910" width="17.5703125" style="4" customWidth="1"/>
    <col min="6911" max="6911" width="42.42578125" style="4" customWidth="1"/>
    <col min="6912" max="6912" width="9.140625" style="4"/>
    <col min="6913" max="6913" width="20.7109375" style="4" customWidth="1"/>
    <col min="6914" max="7165" width="9.140625" style="4"/>
    <col min="7166" max="7166" width="17.5703125" style="4" customWidth="1"/>
    <col min="7167" max="7167" width="42.42578125" style="4" customWidth="1"/>
    <col min="7168" max="7168" width="9.140625" style="4"/>
    <col min="7169" max="7169" width="20.7109375" style="4" customWidth="1"/>
    <col min="7170" max="7421" width="9.140625" style="4"/>
    <col min="7422" max="7422" width="17.5703125" style="4" customWidth="1"/>
    <col min="7423" max="7423" width="42.42578125" style="4" customWidth="1"/>
    <col min="7424" max="7424" width="9.140625" style="4"/>
    <col min="7425" max="7425" width="20.7109375" style="4" customWidth="1"/>
    <col min="7426" max="7677" width="9.140625" style="4"/>
    <col min="7678" max="7678" width="17.5703125" style="4" customWidth="1"/>
    <col min="7679" max="7679" width="42.42578125" style="4" customWidth="1"/>
    <col min="7680" max="7680" width="9.140625" style="4"/>
    <col min="7681" max="7681" width="20.7109375" style="4" customWidth="1"/>
    <col min="7682" max="7933" width="9.140625" style="4"/>
    <col min="7934" max="7934" width="17.5703125" style="4" customWidth="1"/>
    <col min="7935" max="7935" width="42.42578125" style="4" customWidth="1"/>
    <col min="7936" max="7936" width="9.140625" style="4"/>
    <col min="7937" max="7937" width="20.7109375" style="4" customWidth="1"/>
    <col min="7938" max="8189" width="9.140625" style="4"/>
    <col min="8190" max="8190" width="17.5703125" style="4" customWidth="1"/>
    <col min="8191" max="8191" width="42.42578125" style="4" customWidth="1"/>
    <col min="8192" max="8192" width="9.140625" style="4"/>
    <col min="8193" max="8193" width="20.7109375" style="4" customWidth="1"/>
    <col min="8194" max="8445" width="9.140625" style="4"/>
    <col min="8446" max="8446" width="17.5703125" style="4" customWidth="1"/>
    <col min="8447" max="8447" width="42.42578125" style="4" customWidth="1"/>
    <col min="8448" max="8448" width="9.140625" style="4"/>
    <col min="8449" max="8449" width="20.7109375" style="4" customWidth="1"/>
    <col min="8450" max="8701" width="9.140625" style="4"/>
    <col min="8702" max="8702" width="17.5703125" style="4" customWidth="1"/>
    <col min="8703" max="8703" width="42.42578125" style="4" customWidth="1"/>
    <col min="8704" max="8704" width="9.140625" style="4"/>
    <col min="8705" max="8705" width="20.7109375" style="4" customWidth="1"/>
    <col min="8706" max="8957" width="9.140625" style="4"/>
    <col min="8958" max="8958" width="17.5703125" style="4" customWidth="1"/>
    <col min="8959" max="8959" width="42.42578125" style="4" customWidth="1"/>
    <col min="8960" max="8960" width="9.140625" style="4"/>
    <col min="8961" max="8961" width="20.7109375" style="4" customWidth="1"/>
    <col min="8962" max="9213" width="9.140625" style="4"/>
    <col min="9214" max="9214" width="17.5703125" style="4" customWidth="1"/>
    <col min="9215" max="9215" width="42.42578125" style="4" customWidth="1"/>
    <col min="9216" max="9216" width="9.140625" style="4"/>
    <col min="9217" max="9217" width="20.7109375" style="4" customWidth="1"/>
    <col min="9218" max="9469" width="9.140625" style="4"/>
    <col min="9470" max="9470" width="17.5703125" style="4" customWidth="1"/>
    <col min="9471" max="9471" width="42.42578125" style="4" customWidth="1"/>
    <col min="9472" max="9472" width="9.140625" style="4"/>
    <col min="9473" max="9473" width="20.7109375" style="4" customWidth="1"/>
    <col min="9474" max="9725" width="9.140625" style="4"/>
    <col min="9726" max="9726" width="17.5703125" style="4" customWidth="1"/>
    <col min="9727" max="9727" width="42.42578125" style="4" customWidth="1"/>
    <col min="9728" max="9728" width="9.140625" style="4"/>
    <col min="9729" max="9729" width="20.7109375" style="4" customWidth="1"/>
    <col min="9730" max="9981" width="9.140625" style="4"/>
    <col min="9982" max="9982" width="17.5703125" style="4" customWidth="1"/>
    <col min="9983" max="9983" width="42.42578125" style="4" customWidth="1"/>
    <col min="9984" max="9984" width="9.140625" style="4"/>
    <col min="9985" max="9985" width="20.7109375" style="4" customWidth="1"/>
    <col min="9986" max="10237" width="9.140625" style="4"/>
    <col min="10238" max="10238" width="17.5703125" style="4" customWidth="1"/>
    <col min="10239" max="10239" width="42.42578125" style="4" customWidth="1"/>
    <col min="10240" max="10240" width="9.140625" style="4"/>
    <col min="10241" max="10241" width="20.7109375" style="4" customWidth="1"/>
    <col min="10242" max="10493" width="9.140625" style="4"/>
    <col min="10494" max="10494" width="17.5703125" style="4" customWidth="1"/>
    <col min="10495" max="10495" width="42.42578125" style="4" customWidth="1"/>
    <col min="10496" max="10496" width="9.140625" style="4"/>
    <col min="10497" max="10497" width="20.7109375" style="4" customWidth="1"/>
    <col min="10498" max="10749" width="9.140625" style="4"/>
    <col min="10750" max="10750" width="17.5703125" style="4" customWidth="1"/>
    <col min="10751" max="10751" width="42.42578125" style="4" customWidth="1"/>
    <col min="10752" max="10752" width="9.140625" style="4"/>
    <col min="10753" max="10753" width="20.7109375" style="4" customWidth="1"/>
    <col min="10754" max="11005" width="9.140625" style="4"/>
    <col min="11006" max="11006" width="17.5703125" style="4" customWidth="1"/>
    <col min="11007" max="11007" width="42.42578125" style="4" customWidth="1"/>
    <col min="11008" max="11008" width="9.140625" style="4"/>
    <col min="11009" max="11009" width="20.7109375" style="4" customWidth="1"/>
    <col min="11010" max="11261" width="9.140625" style="4"/>
    <col min="11262" max="11262" width="17.5703125" style="4" customWidth="1"/>
    <col min="11263" max="11263" width="42.42578125" style="4" customWidth="1"/>
    <col min="11264" max="11264" width="9.140625" style="4"/>
    <col min="11265" max="11265" width="20.7109375" style="4" customWidth="1"/>
    <col min="11266" max="11517" width="9.140625" style="4"/>
    <col min="11518" max="11518" width="17.5703125" style="4" customWidth="1"/>
    <col min="11519" max="11519" width="42.42578125" style="4" customWidth="1"/>
    <col min="11520" max="11520" width="9.140625" style="4"/>
    <col min="11521" max="11521" width="20.7109375" style="4" customWidth="1"/>
    <col min="11522" max="11773" width="9.140625" style="4"/>
    <col min="11774" max="11774" width="17.5703125" style="4" customWidth="1"/>
    <col min="11775" max="11775" width="42.42578125" style="4" customWidth="1"/>
    <col min="11776" max="11776" width="9.140625" style="4"/>
    <col min="11777" max="11777" width="20.7109375" style="4" customWidth="1"/>
    <col min="11778" max="12029" width="9.140625" style="4"/>
    <col min="12030" max="12030" width="17.5703125" style="4" customWidth="1"/>
    <col min="12031" max="12031" width="42.42578125" style="4" customWidth="1"/>
    <col min="12032" max="12032" width="9.140625" style="4"/>
    <col min="12033" max="12033" width="20.7109375" style="4" customWidth="1"/>
    <col min="12034" max="12285" width="9.140625" style="4"/>
    <col min="12286" max="12286" width="17.5703125" style="4" customWidth="1"/>
    <col min="12287" max="12287" width="42.42578125" style="4" customWidth="1"/>
    <col min="12288" max="12288" width="9.140625" style="4"/>
    <col min="12289" max="12289" width="20.7109375" style="4" customWidth="1"/>
    <col min="12290" max="12541" width="9.140625" style="4"/>
    <col min="12542" max="12542" width="17.5703125" style="4" customWidth="1"/>
    <col min="12543" max="12543" width="42.42578125" style="4" customWidth="1"/>
    <col min="12544" max="12544" width="9.140625" style="4"/>
    <col min="12545" max="12545" width="20.7109375" style="4" customWidth="1"/>
    <col min="12546" max="12797" width="9.140625" style="4"/>
    <col min="12798" max="12798" width="17.5703125" style="4" customWidth="1"/>
    <col min="12799" max="12799" width="42.42578125" style="4" customWidth="1"/>
    <col min="12800" max="12800" width="9.140625" style="4"/>
    <col min="12801" max="12801" width="20.7109375" style="4" customWidth="1"/>
    <col min="12802" max="13053" width="9.140625" style="4"/>
    <col min="13054" max="13054" width="17.5703125" style="4" customWidth="1"/>
    <col min="13055" max="13055" width="42.42578125" style="4" customWidth="1"/>
    <col min="13056" max="13056" width="9.140625" style="4"/>
    <col min="13057" max="13057" width="20.7109375" style="4" customWidth="1"/>
    <col min="13058" max="13309" width="9.140625" style="4"/>
    <col min="13310" max="13310" width="17.5703125" style="4" customWidth="1"/>
    <col min="13311" max="13311" width="42.42578125" style="4" customWidth="1"/>
    <col min="13312" max="13312" width="9.140625" style="4"/>
    <col min="13313" max="13313" width="20.7109375" style="4" customWidth="1"/>
    <col min="13314" max="13565" width="9.140625" style="4"/>
    <col min="13566" max="13566" width="17.5703125" style="4" customWidth="1"/>
    <col min="13567" max="13567" width="42.42578125" style="4" customWidth="1"/>
    <col min="13568" max="13568" width="9.140625" style="4"/>
    <col min="13569" max="13569" width="20.7109375" style="4" customWidth="1"/>
    <col min="13570" max="13821" width="9.140625" style="4"/>
    <col min="13822" max="13822" width="17.5703125" style="4" customWidth="1"/>
    <col min="13823" max="13823" width="42.42578125" style="4" customWidth="1"/>
    <col min="13824" max="13824" width="9.140625" style="4"/>
    <col min="13825" max="13825" width="20.7109375" style="4" customWidth="1"/>
    <col min="13826" max="14077" width="9.140625" style="4"/>
    <col min="14078" max="14078" width="17.5703125" style="4" customWidth="1"/>
    <col min="14079" max="14079" width="42.42578125" style="4" customWidth="1"/>
    <col min="14080" max="14080" width="9.140625" style="4"/>
    <col min="14081" max="14081" width="20.7109375" style="4" customWidth="1"/>
    <col min="14082" max="14333" width="9.140625" style="4"/>
    <col min="14334" max="14334" width="17.5703125" style="4" customWidth="1"/>
    <col min="14335" max="14335" width="42.42578125" style="4" customWidth="1"/>
    <col min="14336" max="14336" width="9.140625" style="4"/>
    <col min="14337" max="14337" width="20.7109375" style="4" customWidth="1"/>
    <col min="14338" max="14589" width="9.140625" style="4"/>
    <col min="14590" max="14590" width="17.5703125" style="4" customWidth="1"/>
    <col min="14591" max="14591" width="42.42578125" style="4" customWidth="1"/>
    <col min="14592" max="14592" width="9.140625" style="4"/>
    <col min="14593" max="14593" width="20.7109375" style="4" customWidth="1"/>
    <col min="14594" max="14845" width="9.140625" style="4"/>
    <col min="14846" max="14846" width="17.5703125" style="4" customWidth="1"/>
    <col min="14847" max="14847" width="42.42578125" style="4" customWidth="1"/>
    <col min="14848" max="14848" width="9.140625" style="4"/>
    <col min="14849" max="14849" width="20.7109375" style="4" customWidth="1"/>
    <col min="14850" max="15101" width="9.140625" style="4"/>
    <col min="15102" max="15102" width="17.5703125" style="4" customWidth="1"/>
    <col min="15103" max="15103" width="42.42578125" style="4" customWidth="1"/>
    <col min="15104" max="15104" width="9.140625" style="4"/>
    <col min="15105" max="15105" width="20.7109375" style="4" customWidth="1"/>
    <col min="15106" max="15357" width="9.140625" style="4"/>
    <col min="15358" max="15358" width="17.5703125" style="4" customWidth="1"/>
    <col min="15359" max="15359" width="42.42578125" style="4" customWidth="1"/>
    <col min="15360" max="15360" width="9.140625" style="4"/>
    <col min="15361" max="15361" width="20.7109375" style="4" customWidth="1"/>
    <col min="15362" max="15613" width="9.140625" style="4"/>
    <col min="15614" max="15614" width="17.5703125" style="4" customWidth="1"/>
    <col min="15615" max="15615" width="42.42578125" style="4" customWidth="1"/>
    <col min="15616" max="15616" width="9.140625" style="4"/>
    <col min="15617" max="15617" width="20.7109375" style="4" customWidth="1"/>
    <col min="15618" max="15869" width="9.140625" style="4"/>
    <col min="15870" max="15870" width="17.5703125" style="4" customWidth="1"/>
    <col min="15871" max="15871" width="42.42578125" style="4" customWidth="1"/>
    <col min="15872" max="15872" width="9.140625" style="4"/>
    <col min="15873" max="15873" width="20.7109375" style="4" customWidth="1"/>
    <col min="15874" max="16125" width="9.140625" style="4"/>
    <col min="16126" max="16126" width="17.5703125" style="4" customWidth="1"/>
    <col min="16127" max="16127" width="42.42578125" style="4" customWidth="1"/>
    <col min="16128" max="16128" width="9.140625" style="4"/>
    <col min="16129" max="16129" width="20.7109375" style="4" customWidth="1"/>
    <col min="16130" max="16384" width="9.140625" style="4"/>
  </cols>
  <sheetData>
    <row r="1" spans="1:13">
      <c r="E1" s="108" t="s">
        <v>27</v>
      </c>
      <c r="F1" s="108"/>
    </row>
    <row r="2" spans="1:13">
      <c r="E2" s="108" t="s">
        <v>28</v>
      </c>
      <c r="F2" s="108"/>
    </row>
    <row r="3" spans="1:13">
      <c r="E3" s="109" t="s">
        <v>249</v>
      </c>
      <c r="F3" s="109"/>
    </row>
    <row r="4" spans="1:13" ht="15" customHeight="1"/>
    <row r="5" spans="1:13" ht="26.25">
      <c r="E5" s="110" t="s">
        <v>61</v>
      </c>
      <c r="F5" s="110"/>
      <c r="G5" s="111"/>
      <c r="H5" s="111"/>
      <c r="M5" s="112"/>
    </row>
    <row r="6" spans="1:13" ht="15" customHeight="1">
      <c r="E6" s="86"/>
      <c r="F6" s="86"/>
    </row>
    <row r="7" spans="1:13" s="97" customFormat="1" ht="19.5">
      <c r="A7" s="94"/>
      <c r="B7" s="94"/>
      <c r="C7" s="96"/>
      <c r="D7" s="96"/>
      <c r="E7" s="239" t="s">
        <v>57</v>
      </c>
      <c r="F7" s="239"/>
      <c r="G7" s="240" t="s">
        <v>78</v>
      </c>
      <c r="H7" s="240"/>
      <c r="I7" s="239" t="s">
        <v>58</v>
      </c>
      <c r="J7" s="239"/>
      <c r="K7" s="239" t="s">
        <v>59</v>
      </c>
      <c r="L7" s="241"/>
      <c r="M7" s="241" t="s">
        <v>60</v>
      </c>
    </row>
    <row r="8" spans="1:13" s="84" customFormat="1" ht="15" customHeight="1">
      <c r="A8" s="92"/>
      <c r="B8" s="92"/>
      <c r="C8" s="82"/>
      <c r="D8" s="82"/>
      <c r="E8" s="86"/>
      <c r="F8" s="86"/>
      <c r="G8" s="83"/>
      <c r="H8" s="83"/>
    </row>
    <row r="9" spans="1:13" s="88" customFormat="1" ht="15" customHeight="1">
      <c r="A9" s="94">
        <v>1</v>
      </c>
      <c r="B9" s="94"/>
      <c r="C9" s="229" t="s">
        <v>32</v>
      </c>
      <c r="D9" s="89"/>
      <c r="E9" s="101">
        <f>predD!G162</f>
        <v>0</v>
      </c>
      <c r="F9" s="99"/>
      <c r="G9" s="100">
        <f>zemBetD!G217</f>
        <v>0</v>
      </c>
      <c r="H9" s="100"/>
      <c r="I9" s="101">
        <f>kan!G120</f>
        <v>0</v>
      </c>
      <c r="J9" s="101"/>
      <c r="K9" s="101">
        <f>zakljD!G120</f>
        <v>0</v>
      </c>
      <c r="M9" s="87">
        <f>+E9+G9+I9+K9</f>
        <v>0</v>
      </c>
    </row>
    <row r="10" spans="1:13" s="88" customFormat="1" ht="15" customHeight="1">
      <c r="A10" s="94">
        <f>+A9+1</f>
        <v>2</v>
      </c>
      <c r="B10" s="94"/>
      <c r="C10" s="229" t="s">
        <v>33</v>
      </c>
      <c r="D10" s="89"/>
      <c r="E10" s="101">
        <f>predD!G163</f>
        <v>0</v>
      </c>
      <c r="F10" s="99"/>
      <c r="G10" s="100">
        <f>zemBetD!G218</f>
        <v>0</v>
      </c>
      <c r="H10" s="100"/>
      <c r="I10" s="101">
        <f>kan!G121</f>
        <v>0</v>
      </c>
      <c r="J10" s="101"/>
      <c r="K10" s="101">
        <f>zakljD!G121</f>
        <v>0</v>
      </c>
      <c r="M10" s="87">
        <f>+E10+G10+I10+K10</f>
        <v>0</v>
      </c>
    </row>
    <row r="11" spans="1:13" s="88" customFormat="1" ht="15" customHeight="1">
      <c r="A11" s="94">
        <f t="shared" ref="A11:A20" si="0">+A10+1</f>
        <v>3</v>
      </c>
      <c r="B11" s="94"/>
      <c r="C11" s="229" t="s">
        <v>34</v>
      </c>
      <c r="D11" s="89"/>
      <c r="E11" s="101">
        <f>predD!G164</f>
        <v>0</v>
      </c>
      <c r="F11" s="99"/>
      <c r="G11" s="100">
        <f>zemBetD!G219</f>
        <v>0</v>
      </c>
      <c r="H11" s="100"/>
      <c r="I11" s="101">
        <f>kan!G122</f>
        <v>0</v>
      </c>
      <c r="J11" s="101"/>
      <c r="K11" s="101">
        <f>zakljD!G122</f>
        <v>0</v>
      </c>
      <c r="M11" s="87">
        <f t="shared" ref="M11:M20" si="1">+E11+G11+I11+K11</f>
        <v>0</v>
      </c>
    </row>
    <row r="12" spans="1:13" s="88" customFormat="1" ht="15" customHeight="1">
      <c r="A12" s="94">
        <f t="shared" si="0"/>
        <v>4</v>
      </c>
      <c r="B12" s="94"/>
      <c r="C12" s="229" t="s">
        <v>35</v>
      </c>
      <c r="D12" s="89"/>
      <c r="E12" s="101">
        <f>predD!G165</f>
        <v>0</v>
      </c>
      <c r="F12" s="99"/>
      <c r="G12" s="100">
        <f>zemBetD!G220</f>
        <v>0</v>
      </c>
      <c r="H12" s="100"/>
      <c r="I12" s="101">
        <f>kan!G123</f>
        <v>0</v>
      </c>
      <c r="J12" s="101"/>
      <c r="K12" s="101">
        <f>zakljD!G123</f>
        <v>0</v>
      </c>
      <c r="M12" s="87">
        <f t="shared" si="1"/>
        <v>0</v>
      </c>
    </row>
    <row r="13" spans="1:13" s="88" customFormat="1" ht="15" customHeight="1">
      <c r="A13" s="94">
        <f t="shared" si="0"/>
        <v>5</v>
      </c>
      <c r="B13" s="94"/>
      <c r="C13" s="229" t="s">
        <v>36</v>
      </c>
      <c r="D13" s="89"/>
      <c r="E13" s="101">
        <f>predD!G166</f>
        <v>0</v>
      </c>
      <c r="F13" s="99"/>
      <c r="G13" s="100">
        <f>zemBetD!G221</f>
        <v>0</v>
      </c>
      <c r="H13" s="100"/>
      <c r="I13" s="101">
        <f>kan!G124</f>
        <v>0</v>
      </c>
      <c r="J13" s="101"/>
      <c r="K13" s="101">
        <f>zakljD!G124</f>
        <v>0</v>
      </c>
      <c r="M13" s="87">
        <f>+E13+G13+I13+K13</f>
        <v>0</v>
      </c>
    </row>
    <row r="14" spans="1:13" s="88" customFormat="1" ht="15" customHeight="1">
      <c r="A14" s="94">
        <f t="shared" si="0"/>
        <v>6</v>
      </c>
      <c r="B14" s="94"/>
      <c r="C14" s="229" t="s">
        <v>37</v>
      </c>
      <c r="D14" s="89"/>
      <c r="E14" s="101">
        <f>predD!G167</f>
        <v>0</v>
      </c>
      <c r="F14" s="99"/>
      <c r="G14" s="100">
        <f>zemBetD!G222</f>
        <v>0</v>
      </c>
      <c r="H14" s="113"/>
      <c r="I14" s="101">
        <f>kan!G125</f>
        <v>0</v>
      </c>
      <c r="J14" s="101"/>
      <c r="K14" s="101">
        <f>zakljD!G125</f>
        <v>0</v>
      </c>
      <c r="M14" s="87">
        <f t="shared" si="1"/>
        <v>0</v>
      </c>
    </row>
    <row r="15" spans="1:13" s="88" customFormat="1" ht="15" customHeight="1">
      <c r="A15" s="94">
        <f>A14+1</f>
        <v>7</v>
      </c>
      <c r="B15" s="94"/>
      <c r="C15" s="229" t="s">
        <v>47</v>
      </c>
      <c r="D15" s="89"/>
      <c r="E15" s="101">
        <f>predD!G168</f>
        <v>0</v>
      </c>
      <c r="F15" s="102"/>
      <c r="G15" s="100">
        <f>zemBetD!G223</f>
        <v>0</v>
      </c>
      <c r="H15" s="249"/>
      <c r="I15" s="101">
        <f>kan!G126</f>
        <v>0</v>
      </c>
      <c r="J15" s="101"/>
      <c r="K15" s="101">
        <f>zakljD!G126</f>
        <v>0</v>
      </c>
      <c r="M15" s="87">
        <f t="shared" si="1"/>
        <v>0</v>
      </c>
    </row>
    <row r="16" spans="1:13" s="88" customFormat="1" ht="15" customHeight="1">
      <c r="A16" s="94">
        <f t="shared" si="0"/>
        <v>8</v>
      </c>
      <c r="B16" s="94"/>
      <c r="C16" s="229" t="s">
        <v>49</v>
      </c>
      <c r="D16" s="89"/>
      <c r="E16" s="101">
        <f>predD!G169</f>
        <v>0</v>
      </c>
      <c r="F16" s="103"/>
      <c r="G16" s="100">
        <f>zemBetD!G224</f>
        <v>0</v>
      </c>
      <c r="H16" s="249"/>
      <c r="I16" s="101">
        <f>kan!G127</f>
        <v>0</v>
      </c>
      <c r="J16" s="101"/>
      <c r="K16" s="101">
        <f>zakljD!G127</f>
        <v>0</v>
      </c>
      <c r="M16" s="87">
        <f t="shared" si="1"/>
        <v>0</v>
      </c>
    </row>
    <row r="17" spans="1:13" s="88" customFormat="1" ht="15" customHeight="1">
      <c r="A17" s="94">
        <f t="shared" si="0"/>
        <v>9</v>
      </c>
      <c r="B17" s="94"/>
      <c r="C17" s="229" t="s">
        <v>48</v>
      </c>
      <c r="D17" s="89"/>
      <c r="E17" s="101">
        <f>predD!G170</f>
        <v>0</v>
      </c>
      <c r="F17" s="102"/>
      <c r="G17" s="100">
        <f>zemBetD!G225</f>
        <v>0</v>
      </c>
      <c r="H17" s="249"/>
      <c r="I17" s="101">
        <f>kan!G128</f>
        <v>0</v>
      </c>
      <c r="J17" s="101"/>
      <c r="K17" s="101">
        <f>zakljD!G128</f>
        <v>0</v>
      </c>
      <c r="M17" s="87">
        <f t="shared" si="1"/>
        <v>0</v>
      </c>
    </row>
    <row r="18" spans="1:13" s="88" customFormat="1" ht="15" customHeight="1">
      <c r="A18" s="94">
        <f t="shared" si="0"/>
        <v>10</v>
      </c>
      <c r="B18" s="94"/>
      <c r="C18" s="229" t="s">
        <v>50</v>
      </c>
      <c r="D18" s="89"/>
      <c r="E18" s="101">
        <f>predD!G171</f>
        <v>0</v>
      </c>
      <c r="F18" s="103"/>
      <c r="G18" s="100">
        <f>zemBetD!G226</f>
        <v>0</v>
      </c>
      <c r="H18" s="249"/>
      <c r="I18" s="101">
        <f>kan!G129</f>
        <v>0</v>
      </c>
      <c r="J18" s="101"/>
      <c r="K18" s="101">
        <f>zakljD!G129</f>
        <v>0</v>
      </c>
      <c r="M18" s="87">
        <f t="shared" si="1"/>
        <v>0</v>
      </c>
    </row>
    <row r="19" spans="1:13" s="88" customFormat="1" ht="15" customHeight="1">
      <c r="A19" s="94">
        <f t="shared" si="0"/>
        <v>11</v>
      </c>
      <c r="B19" s="94"/>
      <c r="C19" s="229" t="s">
        <v>51</v>
      </c>
      <c r="D19" s="89"/>
      <c r="E19" s="101">
        <f>predD!G172</f>
        <v>0</v>
      </c>
      <c r="F19" s="102"/>
      <c r="G19" s="100">
        <f>zemBetD!G227</f>
        <v>0</v>
      </c>
      <c r="H19" s="249"/>
      <c r="I19" s="101">
        <f>kan!G130</f>
        <v>0</v>
      </c>
      <c r="J19" s="101"/>
      <c r="K19" s="101">
        <f>zakljD!G130</f>
        <v>0</v>
      </c>
      <c r="M19" s="87">
        <f t="shared" si="1"/>
        <v>0</v>
      </c>
    </row>
    <row r="20" spans="1:13" s="88" customFormat="1" ht="15" customHeight="1">
      <c r="A20" s="121">
        <f t="shared" si="0"/>
        <v>12</v>
      </c>
      <c r="B20" s="121"/>
      <c r="C20" s="230" t="s">
        <v>52</v>
      </c>
      <c r="D20" s="122"/>
      <c r="E20" s="124">
        <f>predD!G173</f>
        <v>0</v>
      </c>
      <c r="F20" s="123"/>
      <c r="G20" s="234">
        <f>zemBetD!G228</f>
        <v>0</v>
      </c>
      <c r="H20" s="463"/>
      <c r="I20" s="124">
        <f>kan!G131</f>
        <v>0</v>
      </c>
      <c r="J20" s="124"/>
      <c r="K20" s="124">
        <f>zakljD!G131</f>
        <v>0</v>
      </c>
      <c r="L20" s="125"/>
      <c r="M20" s="126">
        <f t="shared" si="1"/>
        <v>0</v>
      </c>
    </row>
    <row r="21" spans="1:13" s="88" customFormat="1" ht="15" customHeight="1">
      <c r="A21" s="94"/>
      <c r="B21" s="94"/>
      <c r="C21" s="227" t="s">
        <v>62</v>
      </c>
      <c r="D21" s="89"/>
      <c r="E21" s="228">
        <f>SUM(E9:E20)</f>
        <v>0</v>
      </c>
      <c r="F21" s="228"/>
      <c r="G21" s="246">
        <f>SUM(G9:G20)</f>
        <v>0</v>
      </c>
      <c r="H21" s="246"/>
      <c r="I21" s="87">
        <f>SUM(I9:I20)</f>
        <v>0</v>
      </c>
      <c r="J21" s="98"/>
      <c r="K21" s="87">
        <f>SUM(K9:K20)</f>
        <v>0</v>
      </c>
      <c r="M21" s="87">
        <f>SUM(M9:M20)</f>
        <v>0</v>
      </c>
    </row>
    <row r="22" spans="1:13" s="97" customFormat="1" ht="15">
      <c r="A22" s="106"/>
      <c r="B22" s="106"/>
      <c r="C22" s="107"/>
      <c r="D22" s="107"/>
      <c r="E22" s="90"/>
      <c r="F22" s="90"/>
      <c r="G22" s="247"/>
      <c r="H22" s="247"/>
      <c r="I22" s="88"/>
      <c r="J22" s="88"/>
      <c r="K22" s="88"/>
      <c r="L22" s="88"/>
    </row>
    <row r="23" spans="1:13" s="24" customFormat="1" ht="15.75">
      <c r="A23" s="91"/>
      <c r="B23" s="91"/>
      <c r="C23" s="25"/>
      <c r="D23" s="25"/>
      <c r="E23" s="115"/>
      <c r="F23" s="115"/>
      <c r="G23" s="245"/>
      <c r="H23" s="245"/>
      <c r="I23" s="85"/>
      <c r="J23" s="85"/>
      <c r="K23" s="85"/>
      <c r="L23" s="85"/>
      <c r="M23" s="85"/>
    </row>
    <row r="24" spans="1:13" s="32" customFormat="1" ht="18.75">
      <c r="A24" s="93"/>
      <c r="B24" s="93"/>
      <c r="C24" s="30"/>
      <c r="D24" s="30"/>
      <c r="E24" s="116"/>
      <c r="F24" s="116"/>
      <c r="G24" s="95"/>
      <c r="H24" s="95"/>
      <c r="I24" s="117"/>
      <c r="J24" s="117"/>
      <c r="K24" s="117"/>
      <c r="L24" s="117"/>
      <c r="M24" s="117"/>
    </row>
    <row r="25" spans="1:13" s="24" customFormat="1" ht="15.75">
      <c r="A25" s="91"/>
      <c r="B25" s="91"/>
      <c r="C25" s="25"/>
      <c r="D25" s="25"/>
      <c r="E25" s="115"/>
      <c r="F25" s="115"/>
      <c r="G25" s="118"/>
      <c r="H25" s="118"/>
      <c r="I25" s="85"/>
      <c r="J25" s="85"/>
      <c r="K25" s="85"/>
      <c r="L25" s="85"/>
      <c r="M25" s="85"/>
    </row>
    <row r="30" spans="1:13">
      <c r="E30" s="119"/>
      <c r="F30" s="119"/>
    </row>
    <row r="32" spans="1:13">
      <c r="E32" s="119"/>
      <c r="F32" s="119"/>
    </row>
    <row r="33" spans="5:6">
      <c r="E33" s="119"/>
      <c r="F33" s="119"/>
    </row>
    <row r="37" spans="5:6" ht="15.75">
      <c r="E37" s="120"/>
      <c r="F37" s="120"/>
    </row>
  </sheetData>
  <pageMargins left="0.59055118110236227" right="0.19685039370078741" top="0.98425196850393704" bottom="0" header="0" footer="0"/>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G181"/>
  <sheetViews>
    <sheetView showZeros="0" topLeftCell="A154" workbookViewId="0">
      <selection activeCell="E78" sqref="E78"/>
    </sheetView>
  </sheetViews>
  <sheetFormatPr defaultRowHeight="15"/>
  <cols>
    <col min="1" max="1" width="4.7109375" style="79" customWidth="1"/>
    <col min="2" max="2" width="30.7109375" style="79" customWidth="1"/>
    <col min="3" max="3" width="4.7109375" style="177" customWidth="1"/>
    <col min="4" max="4" width="14.7109375" style="445" customWidth="1"/>
    <col min="5" max="5" width="11.7109375" style="168" customWidth="1"/>
    <col min="6" max="6" width="12.7109375" style="168" customWidth="1"/>
    <col min="7" max="7" width="12.7109375" style="169" customWidth="1"/>
    <col min="251" max="251" width="4.7109375" customWidth="1"/>
    <col min="252" max="252" width="30.7109375" customWidth="1"/>
    <col min="253" max="253" width="4.7109375" customWidth="1"/>
    <col min="254" max="254" width="13.7109375" customWidth="1"/>
    <col min="255" max="257" width="12.7109375" customWidth="1"/>
    <col min="259" max="259" width="21" customWidth="1"/>
    <col min="260" max="260" width="36.5703125" customWidth="1"/>
    <col min="507" max="507" width="4.7109375" customWidth="1"/>
    <col min="508" max="508" width="30.7109375" customWidth="1"/>
    <col min="509" max="509" width="4.7109375" customWidth="1"/>
    <col min="510" max="510" width="13.7109375" customWidth="1"/>
    <col min="511" max="513" width="12.7109375" customWidth="1"/>
    <col min="515" max="515" width="21" customWidth="1"/>
    <col min="516" max="516" width="36.5703125" customWidth="1"/>
    <col min="763" max="763" width="4.7109375" customWidth="1"/>
    <col min="764" max="764" width="30.7109375" customWidth="1"/>
    <col min="765" max="765" width="4.7109375" customWidth="1"/>
    <col min="766" max="766" width="13.7109375" customWidth="1"/>
    <col min="767" max="769" width="12.7109375" customWidth="1"/>
    <col min="771" max="771" width="21" customWidth="1"/>
    <col min="772" max="772" width="36.5703125" customWidth="1"/>
    <col min="1019" max="1019" width="4.7109375" customWidth="1"/>
    <col min="1020" max="1020" width="30.7109375" customWidth="1"/>
    <col min="1021" max="1021" width="4.7109375" customWidth="1"/>
    <col min="1022" max="1022" width="13.7109375" customWidth="1"/>
    <col min="1023" max="1025" width="12.7109375" customWidth="1"/>
    <col min="1027" max="1027" width="21" customWidth="1"/>
    <col min="1028" max="1028" width="36.5703125" customWidth="1"/>
    <col min="1275" max="1275" width="4.7109375" customWidth="1"/>
    <col min="1276" max="1276" width="30.7109375" customWidth="1"/>
    <col min="1277" max="1277" width="4.7109375" customWidth="1"/>
    <col min="1278" max="1278" width="13.7109375" customWidth="1"/>
    <col min="1279" max="1281" width="12.7109375" customWidth="1"/>
    <col min="1283" max="1283" width="21" customWidth="1"/>
    <col min="1284" max="1284" width="36.5703125" customWidth="1"/>
    <col min="1531" max="1531" width="4.7109375" customWidth="1"/>
    <col min="1532" max="1532" width="30.7109375" customWidth="1"/>
    <col min="1533" max="1533" width="4.7109375" customWidth="1"/>
    <col min="1534" max="1534" width="13.7109375" customWidth="1"/>
    <col min="1535" max="1537" width="12.7109375" customWidth="1"/>
    <col min="1539" max="1539" width="21" customWidth="1"/>
    <col min="1540" max="1540" width="36.5703125" customWidth="1"/>
    <col min="1787" max="1787" width="4.7109375" customWidth="1"/>
    <col min="1788" max="1788" width="30.7109375" customWidth="1"/>
    <col min="1789" max="1789" width="4.7109375" customWidth="1"/>
    <col min="1790" max="1790" width="13.7109375" customWidth="1"/>
    <col min="1791" max="1793" width="12.7109375" customWidth="1"/>
    <col min="1795" max="1795" width="21" customWidth="1"/>
    <col min="1796" max="1796" width="36.5703125" customWidth="1"/>
    <col min="2043" max="2043" width="4.7109375" customWidth="1"/>
    <col min="2044" max="2044" width="30.7109375" customWidth="1"/>
    <col min="2045" max="2045" width="4.7109375" customWidth="1"/>
    <col min="2046" max="2046" width="13.7109375" customWidth="1"/>
    <col min="2047" max="2049" width="12.7109375" customWidth="1"/>
    <col min="2051" max="2051" width="21" customWidth="1"/>
    <col min="2052" max="2052" width="36.5703125" customWidth="1"/>
    <col min="2299" max="2299" width="4.7109375" customWidth="1"/>
    <col min="2300" max="2300" width="30.7109375" customWidth="1"/>
    <col min="2301" max="2301" width="4.7109375" customWidth="1"/>
    <col min="2302" max="2302" width="13.7109375" customWidth="1"/>
    <col min="2303" max="2305" width="12.7109375" customWidth="1"/>
    <col min="2307" max="2307" width="21" customWidth="1"/>
    <col min="2308" max="2308" width="36.5703125" customWidth="1"/>
    <col min="2555" max="2555" width="4.7109375" customWidth="1"/>
    <col min="2556" max="2556" width="30.7109375" customWidth="1"/>
    <col min="2557" max="2557" width="4.7109375" customWidth="1"/>
    <col min="2558" max="2558" width="13.7109375" customWidth="1"/>
    <col min="2559" max="2561" width="12.7109375" customWidth="1"/>
    <col min="2563" max="2563" width="21" customWidth="1"/>
    <col min="2564" max="2564" width="36.5703125" customWidth="1"/>
    <col min="2811" max="2811" width="4.7109375" customWidth="1"/>
    <col min="2812" max="2812" width="30.7109375" customWidth="1"/>
    <col min="2813" max="2813" width="4.7109375" customWidth="1"/>
    <col min="2814" max="2814" width="13.7109375" customWidth="1"/>
    <col min="2815" max="2817" width="12.7109375" customWidth="1"/>
    <col min="2819" max="2819" width="21" customWidth="1"/>
    <col min="2820" max="2820" width="36.5703125" customWidth="1"/>
    <col min="3067" max="3067" width="4.7109375" customWidth="1"/>
    <col min="3068" max="3068" width="30.7109375" customWidth="1"/>
    <col min="3069" max="3069" width="4.7109375" customWidth="1"/>
    <col min="3070" max="3070" width="13.7109375" customWidth="1"/>
    <col min="3071" max="3073" width="12.7109375" customWidth="1"/>
    <col min="3075" max="3075" width="21" customWidth="1"/>
    <col min="3076" max="3076" width="36.5703125" customWidth="1"/>
    <col min="3323" max="3323" width="4.7109375" customWidth="1"/>
    <col min="3324" max="3324" width="30.7109375" customWidth="1"/>
    <col min="3325" max="3325" width="4.7109375" customWidth="1"/>
    <col min="3326" max="3326" width="13.7109375" customWidth="1"/>
    <col min="3327" max="3329" width="12.7109375" customWidth="1"/>
    <col min="3331" max="3331" width="21" customWidth="1"/>
    <col min="3332" max="3332" width="36.5703125" customWidth="1"/>
    <col min="3579" max="3579" width="4.7109375" customWidth="1"/>
    <col min="3580" max="3580" width="30.7109375" customWidth="1"/>
    <col min="3581" max="3581" width="4.7109375" customWidth="1"/>
    <col min="3582" max="3582" width="13.7109375" customWidth="1"/>
    <col min="3583" max="3585" width="12.7109375" customWidth="1"/>
    <col min="3587" max="3587" width="21" customWidth="1"/>
    <col min="3588" max="3588" width="36.5703125" customWidth="1"/>
    <col min="3835" max="3835" width="4.7109375" customWidth="1"/>
    <col min="3836" max="3836" width="30.7109375" customWidth="1"/>
    <col min="3837" max="3837" width="4.7109375" customWidth="1"/>
    <col min="3838" max="3838" width="13.7109375" customWidth="1"/>
    <col min="3839" max="3841" width="12.7109375" customWidth="1"/>
    <col min="3843" max="3843" width="21" customWidth="1"/>
    <col min="3844" max="3844" width="36.5703125" customWidth="1"/>
    <col min="4091" max="4091" width="4.7109375" customWidth="1"/>
    <col min="4092" max="4092" width="30.7109375" customWidth="1"/>
    <col min="4093" max="4093" width="4.7109375" customWidth="1"/>
    <col min="4094" max="4094" width="13.7109375" customWidth="1"/>
    <col min="4095" max="4097" width="12.7109375" customWidth="1"/>
    <col min="4099" max="4099" width="21" customWidth="1"/>
    <col min="4100" max="4100" width="36.5703125" customWidth="1"/>
    <col min="4347" max="4347" width="4.7109375" customWidth="1"/>
    <col min="4348" max="4348" width="30.7109375" customWidth="1"/>
    <col min="4349" max="4349" width="4.7109375" customWidth="1"/>
    <col min="4350" max="4350" width="13.7109375" customWidth="1"/>
    <col min="4351" max="4353" width="12.7109375" customWidth="1"/>
    <col min="4355" max="4355" width="21" customWidth="1"/>
    <col min="4356" max="4356" width="36.5703125" customWidth="1"/>
    <col min="4603" max="4603" width="4.7109375" customWidth="1"/>
    <col min="4604" max="4604" width="30.7109375" customWidth="1"/>
    <col min="4605" max="4605" width="4.7109375" customWidth="1"/>
    <col min="4606" max="4606" width="13.7109375" customWidth="1"/>
    <col min="4607" max="4609" width="12.7109375" customWidth="1"/>
    <col min="4611" max="4611" width="21" customWidth="1"/>
    <col min="4612" max="4612" width="36.5703125" customWidth="1"/>
    <col min="4859" max="4859" width="4.7109375" customWidth="1"/>
    <col min="4860" max="4860" width="30.7109375" customWidth="1"/>
    <col min="4861" max="4861" width="4.7109375" customWidth="1"/>
    <col min="4862" max="4862" width="13.7109375" customWidth="1"/>
    <col min="4863" max="4865" width="12.7109375" customWidth="1"/>
    <col min="4867" max="4867" width="21" customWidth="1"/>
    <col min="4868" max="4868" width="36.5703125" customWidth="1"/>
    <col min="5115" max="5115" width="4.7109375" customWidth="1"/>
    <col min="5116" max="5116" width="30.7109375" customWidth="1"/>
    <col min="5117" max="5117" width="4.7109375" customWidth="1"/>
    <col min="5118" max="5118" width="13.7109375" customWidth="1"/>
    <col min="5119" max="5121" width="12.7109375" customWidth="1"/>
    <col min="5123" max="5123" width="21" customWidth="1"/>
    <col min="5124" max="5124" width="36.5703125" customWidth="1"/>
    <col min="5371" max="5371" width="4.7109375" customWidth="1"/>
    <col min="5372" max="5372" width="30.7109375" customWidth="1"/>
    <col min="5373" max="5373" width="4.7109375" customWidth="1"/>
    <col min="5374" max="5374" width="13.7109375" customWidth="1"/>
    <col min="5375" max="5377" width="12.7109375" customWidth="1"/>
    <col min="5379" max="5379" width="21" customWidth="1"/>
    <col min="5380" max="5380" width="36.5703125" customWidth="1"/>
    <col min="5627" max="5627" width="4.7109375" customWidth="1"/>
    <col min="5628" max="5628" width="30.7109375" customWidth="1"/>
    <col min="5629" max="5629" width="4.7109375" customWidth="1"/>
    <col min="5630" max="5630" width="13.7109375" customWidth="1"/>
    <col min="5631" max="5633" width="12.7109375" customWidth="1"/>
    <col min="5635" max="5635" width="21" customWidth="1"/>
    <col min="5636" max="5636" width="36.5703125" customWidth="1"/>
    <col min="5883" max="5883" width="4.7109375" customWidth="1"/>
    <col min="5884" max="5884" width="30.7109375" customWidth="1"/>
    <col min="5885" max="5885" width="4.7109375" customWidth="1"/>
    <col min="5886" max="5886" width="13.7109375" customWidth="1"/>
    <col min="5887" max="5889" width="12.7109375" customWidth="1"/>
    <col min="5891" max="5891" width="21" customWidth="1"/>
    <col min="5892" max="5892" width="36.5703125" customWidth="1"/>
    <col min="6139" max="6139" width="4.7109375" customWidth="1"/>
    <col min="6140" max="6140" width="30.7109375" customWidth="1"/>
    <col min="6141" max="6141" width="4.7109375" customWidth="1"/>
    <col min="6142" max="6142" width="13.7109375" customWidth="1"/>
    <col min="6143" max="6145" width="12.7109375" customWidth="1"/>
    <col min="6147" max="6147" width="21" customWidth="1"/>
    <col min="6148" max="6148" width="36.5703125" customWidth="1"/>
    <col min="6395" max="6395" width="4.7109375" customWidth="1"/>
    <col min="6396" max="6396" width="30.7109375" customWidth="1"/>
    <col min="6397" max="6397" width="4.7109375" customWidth="1"/>
    <col min="6398" max="6398" width="13.7109375" customWidth="1"/>
    <col min="6399" max="6401" width="12.7109375" customWidth="1"/>
    <col min="6403" max="6403" width="21" customWidth="1"/>
    <col min="6404" max="6404" width="36.5703125" customWidth="1"/>
    <col min="6651" max="6651" width="4.7109375" customWidth="1"/>
    <col min="6652" max="6652" width="30.7109375" customWidth="1"/>
    <col min="6653" max="6653" width="4.7109375" customWidth="1"/>
    <col min="6654" max="6654" width="13.7109375" customWidth="1"/>
    <col min="6655" max="6657" width="12.7109375" customWidth="1"/>
    <col min="6659" max="6659" width="21" customWidth="1"/>
    <col min="6660" max="6660" width="36.5703125" customWidth="1"/>
    <col min="6907" max="6907" width="4.7109375" customWidth="1"/>
    <col min="6908" max="6908" width="30.7109375" customWidth="1"/>
    <col min="6909" max="6909" width="4.7109375" customWidth="1"/>
    <col min="6910" max="6910" width="13.7109375" customWidth="1"/>
    <col min="6911" max="6913" width="12.7109375" customWidth="1"/>
    <col min="6915" max="6915" width="21" customWidth="1"/>
    <col min="6916" max="6916" width="36.5703125" customWidth="1"/>
    <col min="7163" max="7163" width="4.7109375" customWidth="1"/>
    <col min="7164" max="7164" width="30.7109375" customWidth="1"/>
    <col min="7165" max="7165" width="4.7109375" customWidth="1"/>
    <col min="7166" max="7166" width="13.7109375" customWidth="1"/>
    <col min="7167" max="7169" width="12.7109375" customWidth="1"/>
    <col min="7171" max="7171" width="21" customWidth="1"/>
    <col min="7172" max="7172" width="36.5703125" customWidth="1"/>
    <col min="7419" max="7419" width="4.7109375" customWidth="1"/>
    <col min="7420" max="7420" width="30.7109375" customWidth="1"/>
    <col min="7421" max="7421" width="4.7109375" customWidth="1"/>
    <col min="7422" max="7422" width="13.7109375" customWidth="1"/>
    <col min="7423" max="7425" width="12.7109375" customWidth="1"/>
    <col min="7427" max="7427" width="21" customWidth="1"/>
    <col min="7428" max="7428" width="36.5703125" customWidth="1"/>
    <col min="7675" max="7675" width="4.7109375" customWidth="1"/>
    <col min="7676" max="7676" width="30.7109375" customWidth="1"/>
    <col min="7677" max="7677" width="4.7109375" customWidth="1"/>
    <col min="7678" max="7678" width="13.7109375" customWidth="1"/>
    <col min="7679" max="7681" width="12.7109375" customWidth="1"/>
    <col min="7683" max="7683" width="21" customWidth="1"/>
    <col min="7684" max="7684" width="36.5703125" customWidth="1"/>
    <col min="7931" max="7931" width="4.7109375" customWidth="1"/>
    <col min="7932" max="7932" width="30.7109375" customWidth="1"/>
    <col min="7933" max="7933" width="4.7109375" customWidth="1"/>
    <col min="7934" max="7934" width="13.7109375" customWidth="1"/>
    <col min="7935" max="7937" width="12.7109375" customWidth="1"/>
    <col min="7939" max="7939" width="21" customWidth="1"/>
    <col min="7940" max="7940" width="36.5703125" customWidth="1"/>
    <col min="8187" max="8187" width="4.7109375" customWidth="1"/>
    <col min="8188" max="8188" width="30.7109375" customWidth="1"/>
    <col min="8189" max="8189" width="4.7109375" customWidth="1"/>
    <col min="8190" max="8190" width="13.7109375" customWidth="1"/>
    <col min="8191" max="8193" width="12.7109375" customWidth="1"/>
    <col min="8195" max="8195" width="21" customWidth="1"/>
    <col min="8196" max="8196" width="36.5703125" customWidth="1"/>
    <col min="8443" max="8443" width="4.7109375" customWidth="1"/>
    <col min="8444" max="8444" width="30.7109375" customWidth="1"/>
    <col min="8445" max="8445" width="4.7109375" customWidth="1"/>
    <col min="8446" max="8446" width="13.7109375" customWidth="1"/>
    <col min="8447" max="8449" width="12.7109375" customWidth="1"/>
    <col min="8451" max="8451" width="21" customWidth="1"/>
    <col min="8452" max="8452" width="36.5703125" customWidth="1"/>
    <col min="8699" max="8699" width="4.7109375" customWidth="1"/>
    <col min="8700" max="8700" width="30.7109375" customWidth="1"/>
    <col min="8701" max="8701" width="4.7109375" customWidth="1"/>
    <col min="8702" max="8702" width="13.7109375" customWidth="1"/>
    <col min="8703" max="8705" width="12.7109375" customWidth="1"/>
    <col min="8707" max="8707" width="21" customWidth="1"/>
    <col min="8708" max="8708" width="36.5703125" customWidth="1"/>
    <col min="8955" max="8955" width="4.7109375" customWidth="1"/>
    <col min="8956" max="8956" width="30.7109375" customWidth="1"/>
    <col min="8957" max="8957" width="4.7109375" customWidth="1"/>
    <col min="8958" max="8958" width="13.7109375" customWidth="1"/>
    <col min="8959" max="8961" width="12.7109375" customWidth="1"/>
    <col min="8963" max="8963" width="21" customWidth="1"/>
    <col min="8964" max="8964" width="36.5703125" customWidth="1"/>
    <col min="9211" max="9211" width="4.7109375" customWidth="1"/>
    <col min="9212" max="9212" width="30.7109375" customWidth="1"/>
    <col min="9213" max="9213" width="4.7109375" customWidth="1"/>
    <col min="9214" max="9214" width="13.7109375" customWidth="1"/>
    <col min="9215" max="9217" width="12.7109375" customWidth="1"/>
    <col min="9219" max="9219" width="21" customWidth="1"/>
    <col min="9220" max="9220" width="36.5703125" customWidth="1"/>
    <col min="9467" max="9467" width="4.7109375" customWidth="1"/>
    <col min="9468" max="9468" width="30.7109375" customWidth="1"/>
    <col min="9469" max="9469" width="4.7109375" customWidth="1"/>
    <col min="9470" max="9470" width="13.7109375" customWidth="1"/>
    <col min="9471" max="9473" width="12.7109375" customWidth="1"/>
    <col min="9475" max="9475" width="21" customWidth="1"/>
    <col min="9476" max="9476" width="36.5703125" customWidth="1"/>
    <col min="9723" max="9723" width="4.7109375" customWidth="1"/>
    <col min="9724" max="9724" width="30.7109375" customWidth="1"/>
    <col min="9725" max="9725" width="4.7109375" customWidth="1"/>
    <col min="9726" max="9726" width="13.7109375" customWidth="1"/>
    <col min="9727" max="9729" width="12.7109375" customWidth="1"/>
    <col min="9731" max="9731" width="21" customWidth="1"/>
    <col min="9732" max="9732" width="36.5703125" customWidth="1"/>
    <col min="9979" max="9979" width="4.7109375" customWidth="1"/>
    <col min="9980" max="9980" width="30.7109375" customWidth="1"/>
    <col min="9981" max="9981" width="4.7109375" customWidth="1"/>
    <col min="9982" max="9982" width="13.7109375" customWidth="1"/>
    <col min="9983" max="9985" width="12.7109375" customWidth="1"/>
    <col min="9987" max="9987" width="21" customWidth="1"/>
    <col min="9988" max="9988" width="36.5703125" customWidth="1"/>
    <col min="10235" max="10235" width="4.7109375" customWidth="1"/>
    <col min="10236" max="10236" width="30.7109375" customWidth="1"/>
    <col min="10237" max="10237" width="4.7109375" customWidth="1"/>
    <col min="10238" max="10238" width="13.7109375" customWidth="1"/>
    <col min="10239" max="10241" width="12.7109375" customWidth="1"/>
    <col min="10243" max="10243" width="21" customWidth="1"/>
    <col min="10244" max="10244" width="36.5703125" customWidth="1"/>
    <col min="10491" max="10491" width="4.7109375" customWidth="1"/>
    <col min="10492" max="10492" width="30.7109375" customWidth="1"/>
    <col min="10493" max="10493" width="4.7109375" customWidth="1"/>
    <col min="10494" max="10494" width="13.7109375" customWidth="1"/>
    <col min="10495" max="10497" width="12.7109375" customWidth="1"/>
    <col min="10499" max="10499" width="21" customWidth="1"/>
    <col min="10500" max="10500" width="36.5703125" customWidth="1"/>
    <col min="10747" max="10747" width="4.7109375" customWidth="1"/>
    <col min="10748" max="10748" width="30.7109375" customWidth="1"/>
    <col min="10749" max="10749" width="4.7109375" customWidth="1"/>
    <col min="10750" max="10750" width="13.7109375" customWidth="1"/>
    <col min="10751" max="10753" width="12.7109375" customWidth="1"/>
    <col min="10755" max="10755" width="21" customWidth="1"/>
    <col min="10756" max="10756" width="36.5703125" customWidth="1"/>
    <col min="11003" max="11003" width="4.7109375" customWidth="1"/>
    <col min="11004" max="11004" width="30.7109375" customWidth="1"/>
    <col min="11005" max="11005" width="4.7109375" customWidth="1"/>
    <col min="11006" max="11006" width="13.7109375" customWidth="1"/>
    <col min="11007" max="11009" width="12.7109375" customWidth="1"/>
    <col min="11011" max="11011" width="21" customWidth="1"/>
    <col min="11012" max="11012" width="36.5703125" customWidth="1"/>
    <col min="11259" max="11259" width="4.7109375" customWidth="1"/>
    <col min="11260" max="11260" width="30.7109375" customWidth="1"/>
    <col min="11261" max="11261" width="4.7109375" customWidth="1"/>
    <col min="11262" max="11262" width="13.7109375" customWidth="1"/>
    <col min="11263" max="11265" width="12.7109375" customWidth="1"/>
    <col min="11267" max="11267" width="21" customWidth="1"/>
    <col min="11268" max="11268" width="36.5703125" customWidth="1"/>
    <col min="11515" max="11515" width="4.7109375" customWidth="1"/>
    <col min="11516" max="11516" width="30.7109375" customWidth="1"/>
    <col min="11517" max="11517" width="4.7109375" customWidth="1"/>
    <col min="11518" max="11518" width="13.7109375" customWidth="1"/>
    <col min="11519" max="11521" width="12.7109375" customWidth="1"/>
    <col min="11523" max="11523" width="21" customWidth="1"/>
    <col min="11524" max="11524" width="36.5703125" customWidth="1"/>
    <col min="11771" max="11771" width="4.7109375" customWidth="1"/>
    <col min="11772" max="11772" width="30.7109375" customWidth="1"/>
    <col min="11773" max="11773" width="4.7109375" customWidth="1"/>
    <col min="11774" max="11774" width="13.7109375" customWidth="1"/>
    <col min="11775" max="11777" width="12.7109375" customWidth="1"/>
    <col min="11779" max="11779" width="21" customWidth="1"/>
    <col min="11780" max="11780" width="36.5703125" customWidth="1"/>
    <col min="12027" max="12027" width="4.7109375" customWidth="1"/>
    <col min="12028" max="12028" width="30.7109375" customWidth="1"/>
    <col min="12029" max="12029" width="4.7109375" customWidth="1"/>
    <col min="12030" max="12030" width="13.7109375" customWidth="1"/>
    <col min="12031" max="12033" width="12.7109375" customWidth="1"/>
    <col min="12035" max="12035" width="21" customWidth="1"/>
    <col min="12036" max="12036" width="36.5703125" customWidth="1"/>
    <col min="12283" max="12283" width="4.7109375" customWidth="1"/>
    <col min="12284" max="12284" width="30.7109375" customWidth="1"/>
    <col min="12285" max="12285" width="4.7109375" customWidth="1"/>
    <col min="12286" max="12286" width="13.7109375" customWidth="1"/>
    <col min="12287" max="12289" width="12.7109375" customWidth="1"/>
    <col min="12291" max="12291" width="21" customWidth="1"/>
    <col min="12292" max="12292" width="36.5703125" customWidth="1"/>
    <col min="12539" max="12539" width="4.7109375" customWidth="1"/>
    <col min="12540" max="12540" width="30.7109375" customWidth="1"/>
    <col min="12541" max="12541" width="4.7109375" customWidth="1"/>
    <col min="12542" max="12542" width="13.7109375" customWidth="1"/>
    <col min="12543" max="12545" width="12.7109375" customWidth="1"/>
    <col min="12547" max="12547" width="21" customWidth="1"/>
    <col min="12548" max="12548" width="36.5703125" customWidth="1"/>
    <col min="12795" max="12795" width="4.7109375" customWidth="1"/>
    <col min="12796" max="12796" width="30.7109375" customWidth="1"/>
    <col min="12797" max="12797" width="4.7109375" customWidth="1"/>
    <col min="12798" max="12798" width="13.7109375" customWidth="1"/>
    <col min="12799" max="12801" width="12.7109375" customWidth="1"/>
    <col min="12803" max="12803" width="21" customWidth="1"/>
    <col min="12804" max="12804" width="36.5703125" customWidth="1"/>
    <col min="13051" max="13051" width="4.7109375" customWidth="1"/>
    <col min="13052" max="13052" width="30.7109375" customWidth="1"/>
    <col min="13053" max="13053" width="4.7109375" customWidth="1"/>
    <col min="13054" max="13054" width="13.7109375" customWidth="1"/>
    <col min="13055" max="13057" width="12.7109375" customWidth="1"/>
    <col min="13059" max="13059" width="21" customWidth="1"/>
    <col min="13060" max="13060" width="36.5703125" customWidth="1"/>
    <col min="13307" max="13307" width="4.7109375" customWidth="1"/>
    <col min="13308" max="13308" width="30.7109375" customWidth="1"/>
    <col min="13309" max="13309" width="4.7109375" customWidth="1"/>
    <col min="13310" max="13310" width="13.7109375" customWidth="1"/>
    <col min="13311" max="13313" width="12.7109375" customWidth="1"/>
    <col min="13315" max="13315" width="21" customWidth="1"/>
    <col min="13316" max="13316" width="36.5703125" customWidth="1"/>
    <col min="13563" max="13563" width="4.7109375" customWidth="1"/>
    <col min="13564" max="13564" width="30.7109375" customWidth="1"/>
    <col min="13565" max="13565" width="4.7109375" customWidth="1"/>
    <col min="13566" max="13566" width="13.7109375" customWidth="1"/>
    <col min="13567" max="13569" width="12.7109375" customWidth="1"/>
    <col min="13571" max="13571" width="21" customWidth="1"/>
    <col min="13572" max="13572" width="36.5703125" customWidth="1"/>
    <col min="13819" max="13819" width="4.7109375" customWidth="1"/>
    <col min="13820" max="13820" width="30.7109375" customWidth="1"/>
    <col min="13821" max="13821" width="4.7109375" customWidth="1"/>
    <col min="13822" max="13822" width="13.7109375" customWidth="1"/>
    <col min="13823" max="13825" width="12.7109375" customWidth="1"/>
    <col min="13827" max="13827" width="21" customWidth="1"/>
    <col min="13828" max="13828" width="36.5703125" customWidth="1"/>
    <col min="14075" max="14075" width="4.7109375" customWidth="1"/>
    <col min="14076" max="14076" width="30.7109375" customWidth="1"/>
    <col min="14077" max="14077" width="4.7109375" customWidth="1"/>
    <col min="14078" max="14078" width="13.7109375" customWidth="1"/>
    <col min="14079" max="14081" width="12.7109375" customWidth="1"/>
    <col min="14083" max="14083" width="21" customWidth="1"/>
    <col min="14084" max="14084" width="36.5703125" customWidth="1"/>
    <col min="14331" max="14331" width="4.7109375" customWidth="1"/>
    <col min="14332" max="14332" width="30.7109375" customWidth="1"/>
    <col min="14333" max="14333" width="4.7109375" customWidth="1"/>
    <col min="14334" max="14334" width="13.7109375" customWidth="1"/>
    <col min="14335" max="14337" width="12.7109375" customWidth="1"/>
    <col min="14339" max="14339" width="21" customWidth="1"/>
    <col min="14340" max="14340" width="36.5703125" customWidth="1"/>
    <col min="14587" max="14587" width="4.7109375" customWidth="1"/>
    <col min="14588" max="14588" width="30.7109375" customWidth="1"/>
    <col min="14589" max="14589" width="4.7109375" customWidth="1"/>
    <col min="14590" max="14590" width="13.7109375" customWidth="1"/>
    <col min="14591" max="14593" width="12.7109375" customWidth="1"/>
    <col min="14595" max="14595" width="21" customWidth="1"/>
    <col min="14596" max="14596" width="36.5703125" customWidth="1"/>
    <col min="14843" max="14843" width="4.7109375" customWidth="1"/>
    <col min="14844" max="14844" width="30.7109375" customWidth="1"/>
    <col min="14845" max="14845" width="4.7109375" customWidth="1"/>
    <col min="14846" max="14846" width="13.7109375" customWidth="1"/>
    <col min="14847" max="14849" width="12.7109375" customWidth="1"/>
    <col min="14851" max="14851" width="21" customWidth="1"/>
    <col min="14852" max="14852" width="36.5703125" customWidth="1"/>
    <col min="15099" max="15099" width="4.7109375" customWidth="1"/>
    <col min="15100" max="15100" width="30.7109375" customWidth="1"/>
    <col min="15101" max="15101" width="4.7109375" customWidth="1"/>
    <col min="15102" max="15102" width="13.7109375" customWidth="1"/>
    <col min="15103" max="15105" width="12.7109375" customWidth="1"/>
    <col min="15107" max="15107" width="21" customWidth="1"/>
    <col min="15108" max="15108" width="36.5703125" customWidth="1"/>
    <col min="15355" max="15355" width="4.7109375" customWidth="1"/>
    <col min="15356" max="15356" width="30.7109375" customWidth="1"/>
    <col min="15357" max="15357" width="4.7109375" customWidth="1"/>
    <col min="15358" max="15358" width="13.7109375" customWidth="1"/>
    <col min="15359" max="15361" width="12.7109375" customWidth="1"/>
    <col min="15363" max="15363" width="21" customWidth="1"/>
    <col min="15364" max="15364" width="36.5703125" customWidth="1"/>
    <col min="15611" max="15611" width="4.7109375" customWidth="1"/>
    <col min="15612" max="15612" width="30.7109375" customWidth="1"/>
    <col min="15613" max="15613" width="4.7109375" customWidth="1"/>
    <col min="15614" max="15614" width="13.7109375" customWidth="1"/>
    <col min="15615" max="15617" width="12.7109375" customWidth="1"/>
    <col min="15619" max="15619" width="21" customWidth="1"/>
    <col min="15620" max="15620" width="36.5703125" customWidth="1"/>
    <col min="15867" max="15867" width="4.7109375" customWidth="1"/>
    <col min="15868" max="15868" width="30.7109375" customWidth="1"/>
    <col min="15869" max="15869" width="4.7109375" customWidth="1"/>
    <col min="15870" max="15870" width="13.7109375" customWidth="1"/>
    <col min="15871" max="15873" width="12.7109375" customWidth="1"/>
    <col min="15875" max="15875" width="21" customWidth="1"/>
    <col min="15876" max="15876" width="36.5703125" customWidth="1"/>
    <col min="16123" max="16123" width="4.7109375" customWidth="1"/>
    <col min="16124" max="16124" width="30.7109375" customWidth="1"/>
    <col min="16125" max="16125" width="4.7109375" customWidth="1"/>
    <col min="16126" max="16126" width="13.7109375" customWidth="1"/>
    <col min="16127" max="16129" width="12.7109375" customWidth="1"/>
    <col min="16131" max="16131" width="21" customWidth="1"/>
    <col min="16132" max="16132" width="36.5703125" customWidth="1"/>
  </cols>
  <sheetData>
    <row r="1" spans="1:7">
      <c r="B1" s="104" t="s">
        <v>27</v>
      </c>
    </row>
    <row r="2" spans="1:7">
      <c r="B2" s="104" t="s">
        <v>28</v>
      </c>
    </row>
    <row r="3" spans="1:7">
      <c r="B3" s="105" t="s">
        <v>29</v>
      </c>
    </row>
    <row r="5" spans="1:7" ht="15.75">
      <c r="A5" s="22" t="s">
        <v>30</v>
      </c>
      <c r="B5" s="23" t="s">
        <v>31</v>
      </c>
      <c r="C5" s="131"/>
      <c r="D5" s="170"/>
      <c r="E5" s="171"/>
      <c r="F5" s="171"/>
      <c r="G5" s="144"/>
    </row>
    <row r="6" spans="1:7" ht="12.75" customHeight="1">
      <c r="A6" s="48"/>
      <c r="B6" s="49"/>
      <c r="C6" s="131"/>
      <c r="D6" s="170"/>
      <c r="E6" s="171"/>
      <c r="F6" s="171"/>
      <c r="G6" s="144"/>
    </row>
    <row r="7" spans="1:7" ht="41.25" customHeight="1">
      <c r="A7" s="48">
        <v>1</v>
      </c>
      <c r="B7" s="52" t="s">
        <v>18</v>
      </c>
      <c r="C7" s="131"/>
      <c r="D7" s="172"/>
      <c r="E7" s="172"/>
      <c r="F7" s="171"/>
      <c r="G7" s="144"/>
    </row>
    <row r="8" spans="1:7" ht="12.75" customHeight="1">
      <c r="A8" s="48"/>
      <c r="B8" s="72" t="s">
        <v>32</v>
      </c>
      <c r="C8" s="131" t="s">
        <v>56</v>
      </c>
      <c r="D8" s="172">
        <v>757.33</v>
      </c>
      <c r="E8" s="172">
        <f>+D8</f>
        <v>757.33</v>
      </c>
      <c r="F8" s="171"/>
      <c r="G8" s="144">
        <f t="shared" ref="G8:G19" si="0">+E8*F8</f>
        <v>0</v>
      </c>
    </row>
    <row r="9" spans="1:7" ht="12.75" customHeight="1">
      <c r="A9" s="48"/>
      <c r="B9" s="72" t="s">
        <v>33</v>
      </c>
      <c r="C9" s="131" t="s">
        <v>56</v>
      </c>
      <c r="D9" s="172">
        <v>242.1</v>
      </c>
      <c r="E9" s="172">
        <f>+D9</f>
        <v>242.1</v>
      </c>
      <c r="F9" s="171"/>
      <c r="G9" s="144">
        <f t="shared" si="0"/>
        <v>0</v>
      </c>
    </row>
    <row r="10" spans="1:7" ht="12.75" customHeight="1">
      <c r="A10" s="48"/>
      <c r="B10" s="72" t="s">
        <v>34</v>
      </c>
      <c r="C10" s="131" t="s">
        <v>56</v>
      </c>
      <c r="D10" s="172">
        <v>134.06</v>
      </c>
      <c r="E10" s="172">
        <f t="shared" ref="E10:E19" si="1">+D10</f>
        <v>134.06</v>
      </c>
      <c r="F10" s="171"/>
      <c r="G10" s="144">
        <f t="shared" si="0"/>
        <v>0</v>
      </c>
    </row>
    <row r="11" spans="1:7" ht="11.25" customHeight="1">
      <c r="A11" s="48"/>
      <c r="B11" s="72" t="s">
        <v>35</v>
      </c>
      <c r="C11" s="131" t="s">
        <v>56</v>
      </c>
      <c r="D11" s="172">
        <v>38.049999999999997</v>
      </c>
      <c r="E11" s="172">
        <f t="shared" si="1"/>
        <v>38.049999999999997</v>
      </c>
      <c r="F11" s="171"/>
      <c r="G11" s="144">
        <f t="shared" si="0"/>
        <v>0</v>
      </c>
    </row>
    <row r="12" spans="1:7" ht="12.75" customHeight="1">
      <c r="A12" s="48"/>
      <c r="B12" s="72" t="s">
        <v>36</v>
      </c>
      <c r="C12" s="131" t="s">
        <v>56</v>
      </c>
      <c r="D12" s="172">
        <v>72.77</v>
      </c>
      <c r="E12" s="172">
        <f t="shared" si="1"/>
        <v>72.77</v>
      </c>
      <c r="F12" s="171"/>
      <c r="G12" s="144">
        <f t="shared" si="0"/>
        <v>0</v>
      </c>
    </row>
    <row r="13" spans="1:7" ht="12.75" customHeight="1">
      <c r="A13" s="48"/>
      <c r="B13" s="72" t="s">
        <v>37</v>
      </c>
      <c r="C13" s="131" t="s">
        <v>56</v>
      </c>
      <c r="D13" s="172">
        <v>54.76</v>
      </c>
      <c r="E13" s="172">
        <f t="shared" si="1"/>
        <v>54.76</v>
      </c>
      <c r="F13" s="171"/>
      <c r="G13" s="144">
        <f t="shared" si="0"/>
        <v>0</v>
      </c>
    </row>
    <row r="14" spans="1:7" ht="12.75" customHeight="1">
      <c r="A14" s="48"/>
      <c r="B14" s="72" t="s">
        <v>47</v>
      </c>
      <c r="C14" s="131" t="s">
        <v>56</v>
      </c>
      <c r="D14" s="172">
        <v>235.5</v>
      </c>
      <c r="E14" s="172">
        <f t="shared" si="1"/>
        <v>235.5</v>
      </c>
      <c r="F14" s="171"/>
      <c r="G14" s="144">
        <f t="shared" si="0"/>
        <v>0</v>
      </c>
    </row>
    <row r="15" spans="1:7" ht="12.75" customHeight="1">
      <c r="A15" s="48"/>
      <c r="B15" s="72" t="s">
        <v>49</v>
      </c>
      <c r="C15" s="131" t="s">
        <v>56</v>
      </c>
      <c r="D15" s="172">
        <v>98.76</v>
      </c>
      <c r="E15" s="172">
        <f t="shared" si="1"/>
        <v>98.76</v>
      </c>
      <c r="F15" s="171"/>
      <c r="G15" s="144">
        <f t="shared" si="0"/>
        <v>0</v>
      </c>
    </row>
    <row r="16" spans="1:7" ht="12.75" customHeight="1">
      <c r="A16" s="48"/>
      <c r="B16" s="72" t="s">
        <v>48</v>
      </c>
      <c r="C16" s="131" t="s">
        <v>56</v>
      </c>
      <c r="D16" s="172">
        <v>85.68</v>
      </c>
      <c r="E16" s="172">
        <f t="shared" si="1"/>
        <v>85.68</v>
      </c>
      <c r="F16" s="171"/>
      <c r="G16" s="144">
        <f t="shared" si="0"/>
        <v>0</v>
      </c>
    </row>
    <row r="17" spans="1:7" ht="12.75" customHeight="1">
      <c r="A17" s="48"/>
      <c r="B17" s="72" t="s">
        <v>50</v>
      </c>
      <c r="C17" s="131" t="s">
        <v>56</v>
      </c>
      <c r="D17" s="172">
        <v>280.39999999999998</v>
      </c>
      <c r="E17" s="172">
        <f t="shared" si="1"/>
        <v>280.39999999999998</v>
      </c>
      <c r="F17" s="171"/>
      <c r="G17" s="144">
        <f t="shared" si="0"/>
        <v>0</v>
      </c>
    </row>
    <row r="18" spans="1:7" ht="12.75" customHeight="1">
      <c r="A18" s="48"/>
      <c r="B18" s="72" t="s">
        <v>51</v>
      </c>
      <c r="C18" s="131" t="s">
        <v>56</v>
      </c>
      <c r="D18" s="172">
        <v>72.33</v>
      </c>
      <c r="E18" s="172">
        <f t="shared" si="1"/>
        <v>72.33</v>
      </c>
      <c r="F18" s="171"/>
      <c r="G18" s="144">
        <f t="shared" si="0"/>
        <v>0</v>
      </c>
    </row>
    <row r="19" spans="1:7" ht="12.75" customHeight="1">
      <c r="A19" s="48"/>
      <c r="B19" s="72" t="s">
        <v>52</v>
      </c>
      <c r="C19" s="131" t="s">
        <v>56</v>
      </c>
      <c r="D19" s="172">
        <v>157.99</v>
      </c>
      <c r="E19" s="172">
        <f t="shared" si="1"/>
        <v>157.99</v>
      </c>
      <c r="F19" s="171"/>
      <c r="G19" s="144">
        <f t="shared" si="0"/>
        <v>0</v>
      </c>
    </row>
    <row r="20" spans="1:7" ht="12.75" customHeight="1">
      <c r="A20" s="48"/>
      <c r="B20" s="72"/>
      <c r="C20" s="131"/>
      <c r="D20" s="172"/>
      <c r="E20" s="172"/>
      <c r="F20" s="171"/>
      <c r="G20" s="144"/>
    </row>
    <row r="21" spans="1:7" ht="49.5" customHeight="1">
      <c r="A21" s="48">
        <f>+A7+1</f>
        <v>2</v>
      </c>
      <c r="B21" s="52" t="s">
        <v>20</v>
      </c>
      <c r="C21" s="131"/>
      <c r="D21" s="155"/>
      <c r="E21" s="171"/>
      <c r="F21" s="171"/>
      <c r="G21" s="144"/>
    </row>
    <row r="22" spans="1:7" ht="12.75" customHeight="1">
      <c r="A22" s="48"/>
      <c r="B22" s="72" t="s">
        <v>32</v>
      </c>
      <c r="C22" s="131" t="s">
        <v>15</v>
      </c>
      <c r="D22" s="155">
        <v>42</v>
      </c>
      <c r="E22" s="171">
        <f>+D22</f>
        <v>42</v>
      </c>
      <c r="F22" s="171"/>
      <c r="G22" s="144">
        <f t="shared" ref="G22:G33" si="2">E22*F22</f>
        <v>0</v>
      </c>
    </row>
    <row r="23" spans="1:7" ht="12.75" customHeight="1">
      <c r="A23" s="48"/>
      <c r="B23" s="72" t="s">
        <v>33</v>
      </c>
      <c r="C23" s="131" t="s">
        <v>15</v>
      </c>
      <c r="D23" s="155">
        <v>6</v>
      </c>
      <c r="E23" s="171">
        <f>+D23</f>
        <v>6</v>
      </c>
      <c r="F23" s="171"/>
      <c r="G23" s="144">
        <f t="shared" si="2"/>
        <v>0</v>
      </c>
    </row>
    <row r="24" spans="1:7" ht="12.75" customHeight="1">
      <c r="A24" s="48"/>
      <c r="B24" s="72" t="s">
        <v>34</v>
      </c>
      <c r="C24" s="131" t="s">
        <v>15</v>
      </c>
      <c r="D24" s="155">
        <v>7</v>
      </c>
      <c r="E24" s="171">
        <f>+D24</f>
        <v>7</v>
      </c>
      <c r="F24" s="171"/>
      <c r="G24" s="144">
        <f t="shared" si="2"/>
        <v>0</v>
      </c>
    </row>
    <row r="25" spans="1:7" ht="12.75" customHeight="1">
      <c r="A25" s="48"/>
      <c r="B25" s="72" t="s">
        <v>35</v>
      </c>
      <c r="C25" s="131" t="s">
        <v>15</v>
      </c>
      <c r="D25" s="155">
        <v>2</v>
      </c>
      <c r="E25" s="171">
        <f t="shared" ref="E25:E33" si="3">+D25</f>
        <v>2</v>
      </c>
      <c r="F25" s="171"/>
      <c r="G25" s="144">
        <f t="shared" si="2"/>
        <v>0</v>
      </c>
    </row>
    <row r="26" spans="1:7" ht="12.75" customHeight="1">
      <c r="A26" s="48"/>
      <c r="B26" s="72" t="s">
        <v>36</v>
      </c>
      <c r="C26" s="131" t="s">
        <v>15</v>
      </c>
      <c r="D26" s="155">
        <v>7</v>
      </c>
      <c r="E26" s="171">
        <f t="shared" si="3"/>
        <v>7</v>
      </c>
      <c r="F26" s="171"/>
      <c r="G26" s="144">
        <f t="shared" si="2"/>
        <v>0</v>
      </c>
    </row>
    <row r="27" spans="1:7" ht="12.75" customHeight="1">
      <c r="A27" s="48"/>
      <c r="B27" s="72" t="s">
        <v>37</v>
      </c>
      <c r="C27" s="131" t="s">
        <v>15</v>
      </c>
      <c r="D27" s="155">
        <v>5</v>
      </c>
      <c r="E27" s="171">
        <f t="shared" si="3"/>
        <v>5</v>
      </c>
      <c r="F27" s="171"/>
      <c r="G27" s="144">
        <f t="shared" si="2"/>
        <v>0</v>
      </c>
    </row>
    <row r="28" spans="1:7" ht="12.75" customHeight="1">
      <c r="A28" s="48"/>
      <c r="B28" s="72" t="s">
        <v>47</v>
      </c>
      <c r="C28" s="131" t="s">
        <v>15</v>
      </c>
      <c r="D28" s="155">
        <v>14</v>
      </c>
      <c r="E28" s="171">
        <f t="shared" si="3"/>
        <v>14</v>
      </c>
      <c r="F28" s="171"/>
      <c r="G28" s="144">
        <f t="shared" si="2"/>
        <v>0</v>
      </c>
    </row>
    <row r="29" spans="1:7" ht="12.75" customHeight="1">
      <c r="A29" s="48"/>
      <c r="B29" s="72" t="s">
        <v>49</v>
      </c>
      <c r="C29" s="131" t="s">
        <v>15</v>
      </c>
      <c r="D29" s="155">
        <v>8</v>
      </c>
      <c r="E29" s="171">
        <f t="shared" si="3"/>
        <v>8</v>
      </c>
      <c r="F29" s="171"/>
      <c r="G29" s="144">
        <f t="shared" si="2"/>
        <v>0</v>
      </c>
    </row>
    <row r="30" spans="1:7" ht="12.75" customHeight="1">
      <c r="A30" s="48"/>
      <c r="B30" s="72" t="s">
        <v>48</v>
      </c>
      <c r="C30" s="131" t="s">
        <v>15</v>
      </c>
      <c r="D30" s="155">
        <v>6</v>
      </c>
      <c r="E30" s="171">
        <f t="shared" si="3"/>
        <v>6</v>
      </c>
      <c r="F30" s="171"/>
      <c r="G30" s="144">
        <f t="shared" si="2"/>
        <v>0</v>
      </c>
    </row>
    <row r="31" spans="1:7" ht="12.75" customHeight="1">
      <c r="A31" s="48"/>
      <c r="B31" s="72" t="s">
        <v>50</v>
      </c>
      <c r="C31" s="131" t="s">
        <v>15</v>
      </c>
      <c r="D31" s="155">
        <v>15</v>
      </c>
      <c r="E31" s="171">
        <f t="shared" si="3"/>
        <v>15</v>
      </c>
      <c r="F31" s="171"/>
      <c r="G31" s="144">
        <f t="shared" si="2"/>
        <v>0</v>
      </c>
    </row>
    <row r="32" spans="1:7" ht="12.75" customHeight="1">
      <c r="A32" s="48"/>
      <c r="B32" s="72" t="s">
        <v>51</v>
      </c>
      <c r="C32" s="131" t="s">
        <v>15</v>
      </c>
      <c r="D32" s="155">
        <v>4</v>
      </c>
      <c r="E32" s="171">
        <f t="shared" si="3"/>
        <v>4</v>
      </c>
      <c r="F32" s="171"/>
      <c r="G32" s="144">
        <f t="shared" si="2"/>
        <v>0</v>
      </c>
    </row>
    <row r="33" spans="1:7" ht="12.75" customHeight="1">
      <c r="A33" s="48"/>
      <c r="B33" s="72" t="s">
        <v>52</v>
      </c>
      <c r="C33" s="131" t="s">
        <v>15</v>
      </c>
      <c r="D33" s="155">
        <v>11</v>
      </c>
      <c r="E33" s="171">
        <f t="shared" si="3"/>
        <v>11</v>
      </c>
      <c r="F33" s="171"/>
      <c r="G33" s="144">
        <f t="shared" si="2"/>
        <v>0</v>
      </c>
    </row>
    <row r="34" spans="1:7" ht="12.75" customHeight="1">
      <c r="A34" s="48"/>
      <c r="B34" s="72"/>
      <c r="C34" s="131"/>
      <c r="D34" s="172"/>
      <c r="E34" s="172"/>
      <c r="F34" s="171"/>
      <c r="G34" s="144"/>
    </row>
    <row r="35" spans="1:7" ht="142.5" customHeight="1">
      <c r="A35" s="48">
        <f>+A21+1</f>
        <v>3</v>
      </c>
      <c r="B35" s="72" t="s">
        <v>73</v>
      </c>
      <c r="C35" s="131"/>
      <c r="D35" s="172"/>
      <c r="E35" s="172"/>
      <c r="F35" s="171"/>
      <c r="G35" s="144"/>
    </row>
    <row r="36" spans="1:7" ht="12.75" customHeight="1">
      <c r="A36" s="48"/>
      <c r="B36" s="72" t="s">
        <v>32</v>
      </c>
      <c r="C36" s="131" t="s">
        <v>15</v>
      </c>
      <c r="D36" s="155">
        <v>1</v>
      </c>
      <c r="E36" s="171">
        <f>+D36</f>
        <v>1</v>
      </c>
      <c r="F36" s="171"/>
      <c r="G36" s="144">
        <f t="shared" ref="G36" si="4">E36*F36</f>
        <v>0</v>
      </c>
    </row>
    <row r="37" spans="1:7" ht="12.75" customHeight="1">
      <c r="A37" s="48"/>
      <c r="B37" s="72" t="s">
        <v>33</v>
      </c>
      <c r="C37" s="131" t="s">
        <v>15</v>
      </c>
      <c r="D37" s="155">
        <v>1</v>
      </c>
      <c r="E37" s="171">
        <f t="shared" ref="E37:E47" si="5">+D37</f>
        <v>1</v>
      </c>
      <c r="F37" s="171"/>
      <c r="G37" s="144">
        <f t="shared" ref="G37:G47" si="6">E37*F37</f>
        <v>0</v>
      </c>
    </row>
    <row r="38" spans="1:7" ht="12.75" customHeight="1">
      <c r="A38" s="48"/>
      <c r="B38" s="72" t="s">
        <v>34</v>
      </c>
      <c r="C38" s="131" t="s">
        <v>15</v>
      </c>
      <c r="D38" s="155">
        <v>1</v>
      </c>
      <c r="E38" s="171">
        <f t="shared" si="5"/>
        <v>1</v>
      </c>
      <c r="F38" s="171"/>
      <c r="G38" s="144">
        <f t="shared" si="6"/>
        <v>0</v>
      </c>
    </row>
    <row r="39" spans="1:7" ht="12.75" customHeight="1">
      <c r="A39" s="48"/>
      <c r="B39" s="72" t="s">
        <v>35</v>
      </c>
      <c r="C39" s="131" t="s">
        <v>15</v>
      </c>
      <c r="D39" s="155">
        <v>1</v>
      </c>
      <c r="E39" s="171">
        <f t="shared" si="5"/>
        <v>1</v>
      </c>
      <c r="F39" s="171"/>
      <c r="G39" s="144">
        <f t="shared" si="6"/>
        <v>0</v>
      </c>
    </row>
    <row r="40" spans="1:7" ht="12.75" customHeight="1">
      <c r="A40" s="48"/>
      <c r="B40" s="72" t="s">
        <v>36</v>
      </c>
      <c r="C40" s="131" t="s">
        <v>15</v>
      </c>
      <c r="D40" s="155">
        <v>1</v>
      </c>
      <c r="E40" s="171">
        <f t="shared" si="5"/>
        <v>1</v>
      </c>
      <c r="F40" s="171"/>
      <c r="G40" s="144">
        <f t="shared" si="6"/>
        <v>0</v>
      </c>
    </row>
    <row r="41" spans="1:7" ht="12.75" customHeight="1">
      <c r="A41" s="48"/>
      <c r="B41" s="72" t="s">
        <v>37</v>
      </c>
      <c r="C41" s="131" t="s">
        <v>15</v>
      </c>
      <c r="D41" s="155">
        <v>1</v>
      </c>
      <c r="E41" s="171">
        <f t="shared" si="5"/>
        <v>1</v>
      </c>
      <c r="F41" s="171"/>
      <c r="G41" s="144">
        <f t="shared" si="6"/>
        <v>0</v>
      </c>
    </row>
    <row r="42" spans="1:7" ht="12.75" customHeight="1">
      <c r="A42" s="48"/>
      <c r="B42" s="72" t="s">
        <v>47</v>
      </c>
      <c r="C42" s="131" t="s">
        <v>15</v>
      </c>
      <c r="D42" s="155">
        <v>1</v>
      </c>
      <c r="E42" s="171">
        <f t="shared" si="5"/>
        <v>1</v>
      </c>
      <c r="F42" s="171"/>
      <c r="G42" s="144">
        <f t="shared" si="6"/>
        <v>0</v>
      </c>
    </row>
    <row r="43" spans="1:7" ht="12.75" customHeight="1">
      <c r="A43" s="48"/>
      <c r="B43" s="72" t="s">
        <v>49</v>
      </c>
      <c r="C43" s="131" t="s">
        <v>15</v>
      </c>
      <c r="D43" s="155">
        <v>1</v>
      </c>
      <c r="E43" s="171">
        <f t="shared" si="5"/>
        <v>1</v>
      </c>
      <c r="F43" s="171"/>
      <c r="G43" s="144">
        <f t="shared" si="6"/>
        <v>0</v>
      </c>
    </row>
    <row r="44" spans="1:7" ht="12.75" customHeight="1">
      <c r="A44" s="48"/>
      <c r="B44" s="72" t="s">
        <v>48</v>
      </c>
      <c r="C44" s="131" t="s">
        <v>15</v>
      </c>
      <c r="D44" s="155">
        <v>1</v>
      </c>
      <c r="E44" s="171">
        <f t="shared" si="5"/>
        <v>1</v>
      </c>
      <c r="F44" s="171"/>
      <c r="G44" s="144">
        <f t="shared" si="6"/>
        <v>0</v>
      </c>
    </row>
    <row r="45" spans="1:7" ht="12.75" customHeight="1">
      <c r="A45" s="48"/>
      <c r="B45" s="72" t="s">
        <v>50</v>
      </c>
      <c r="C45" s="131" t="s">
        <v>15</v>
      </c>
      <c r="D45" s="155">
        <v>1</v>
      </c>
      <c r="E45" s="171">
        <f t="shared" si="5"/>
        <v>1</v>
      </c>
      <c r="F45" s="171"/>
      <c r="G45" s="144">
        <f t="shared" si="6"/>
        <v>0</v>
      </c>
    </row>
    <row r="46" spans="1:7" ht="12.75" customHeight="1">
      <c r="A46" s="48"/>
      <c r="B46" s="72" t="s">
        <v>51</v>
      </c>
      <c r="C46" s="131" t="s">
        <v>15</v>
      </c>
      <c r="D46" s="155">
        <v>1</v>
      </c>
      <c r="E46" s="171">
        <f t="shared" si="5"/>
        <v>1</v>
      </c>
      <c r="F46" s="171"/>
      <c r="G46" s="144">
        <f t="shared" si="6"/>
        <v>0</v>
      </c>
    </row>
    <row r="47" spans="1:7" ht="12.75" customHeight="1">
      <c r="A47" s="48"/>
      <c r="B47" s="72" t="s">
        <v>52</v>
      </c>
      <c r="C47" s="131" t="s">
        <v>15</v>
      </c>
      <c r="D47" s="155">
        <v>1</v>
      </c>
      <c r="E47" s="171">
        <f t="shared" si="5"/>
        <v>1</v>
      </c>
      <c r="F47" s="171"/>
      <c r="G47" s="144">
        <f t="shared" si="6"/>
        <v>0</v>
      </c>
    </row>
    <row r="48" spans="1:7" ht="12.75" customHeight="1">
      <c r="A48" s="48"/>
      <c r="B48" s="72"/>
      <c r="C48" s="131"/>
      <c r="D48" s="172"/>
      <c r="E48" s="172"/>
      <c r="F48" s="171"/>
      <c r="G48" s="144"/>
    </row>
    <row r="49" spans="1:7" ht="81.75" customHeight="1">
      <c r="A49" s="48">
        <f>+A35+1</f>
        <v>4</v>
      </c>
      <c r="B49" s="50" t="s">
        <v>14</v>
      </c>
      <c r="C49" s="133"/>
      <c r="D49" s="192"/>
      <c r="E49" s="193"/>
      <c r="F49" s="173"/>
      <c r="G49" s="174"/>
    </row>
    <row r="50" spans="1:7" ht="12.75" customHeight="1">
      <c r="A50" s="48"/>
      <c r="B50" s="72" t="s">
        <v>32</v>
      </c>
      <c r="C50" s="133" t="s">
        <v>15</v>
      </c>
      <c r="D50" s="192">
        <v>2</v>
      </c>
      <c r="E50" s="193">
        <f>+D50</f>
        <v>2</v>
      </c>
      <c r="F50" s="173"/>
      <c r="G50" s="174">
        <f>E50*F50</f>
        <v>0</v>
      </c>
    </row>
    <row r="51" spans="1:7" ht="12.75" customHeight="1">
      <c r="A51" s="48"/>
      <c r="B51" s="72" t="s">
        <v>33</v>
      </c>
      <c r="C51" s="133" t="s">
        <v>15</v>
      </c>
      <c r="D51" s="192">
        <v>0</v>
      </c>
      <c r="E51" s="193">
        <f t="shared" ref="E51:E61" si="7">+D51</f>
        <v>0</v>
      </c>
      <c r="F51" s="173"/>
      <c r="G51" s="174">
        <f t="shared" ref="G51:G61" si="8">E51*F51</f>
        <v>0</v>
      </c>
    </row>
    <row r="52" spans="1:7" ht="12.75" customHeight="1">
      <c r="A52" s="48"/>
      <c r="B52" s="72" t="s">
        <v>34</v>
      </c>
      <c r="C52" s="133" t="s">
        <v>15</v>
      </c>
      <c r="D52" s="192">
        <v>2</v>
      </c>
      <c r="E52" s="193">
        <f t="shared" si="7"/>
        <v>2</v>
      </c>
      <c r="F52" s="173"/>
      <c r="G52" s="174">
        <f t="shared" si="8"/>
        <v>0</v>
      </c>
    </row>
    <row r="53" spans="1:7" ht="12.75" customHeight="1">
      <c r="A53" s="48"/>
      <c r="B53" s="72" t="s">
        <v>35</v>
      </c>
      <c r="C53" s="133" t="s">
        <v>15</v>
      </c>
      <c r="D53" s="192">
        <v>0</v>
      </c>
      <c r="E53" s="193">
        <f t="shared" si="7"/>
        <v>0</v>
      </c>
      <c r="F53" s="173"/>
      <c r="G53" s="174">
        <f t="shared" si="8"/>
        <v>0</v>
      </c>
    </row>
    <row r="54" spans="1:7" ht="12.75" customHeight="1">
      <c r="A54" s="48"/>
      <c r="B54" s="72" t="s">
        <v>36</v>
      </c>
      <c r="C54" s="133" t="s">
        <v>15</v>
      </c>
      <c r="D54" s="192">
        <v>0</v>
      </c>
      <c r="E54" s="193">
        <f t="shared" si="7"/>
        <v>0</v>
      </c>
      <c r="F54" s="173"/>
      <c r="G54" s="174">
        <f t="shared" si="8"/>
        <v>0</v>
      </c>
    </row>
    <row r="55" spans="1:7" ht="12.75" customHeight="1">
      <c r="A55" s="48"/>
      <c r="B55" s="72" t="s">
        <v>37</v>
      </c>
      <c r="C55" s="133" t="s">
        <v>15</v>
      </c>
      <c r="D55" s="192">
        <v>0</v>
      </c>
      <c r="E55" s="193">
        <f t="shared" si="7"/>
        <v>0</v>
      </c>
      <c r="F55" s="173"/>
      <c r="G55" s="174">
        <f t="shared" si="8"/>
        <v>0</v>
      </c>
    </row>
    <row r="56" spans="1:7" ht="12.75" customHeight="1">
      <c r="A56" s="48"/>
      <c r="B56" s="72" t="s">
        <v>47</v>
      </c>
      <c r="C56" s="133" t="s">
        <v>15</v>
      </c>
      <c r="D56" s="192">
        <v>3</v>
      </c>
      <c r="E56" s="193">
        <f t="shared" si="7"/>
        <v>3</v>
      </c>
      <c r="F56" s="173"/>
      <c r="G56" s="174">
        <f t="shared" si="8"/>
        <v>0</v>
      </c>
    </row>
    <row r="57" spans="1:7" ht="12.75" customHeight="1">
      <c r="A57" s="48"/>
      <c r="B57" s="72" t="s">
        <v>49</v>
      </c>
      <c r="C57" s="133" t="s">
        <v>15</v>
      </c>
      <c r="D57" s="192">
        <v>3</v>
      </c>
      <c r="E57" s="193">
        <f t="shared" si="7"/>
        <v>3</v>
      </c>
      <c r="F57" s="173"/>
      <c r="G57" s="174">
        <f t="shared" si="8"/>
        <v>0</v>
      </c>
    </row>
    <row r="58" spans="1:7" ht="12.75" customHeight="1">
      <c r="A58" s="48"/>
      <c r="B58" s="72" t="s">
        <v>48</v>
      </c>
      <c r="C58" s="133" t="s">
        <v>15</v>
      </c>
      <c r="D58" s="192">
        <v>3</v>
      </c>
      <c r="E58" s="193">
        <f t="shared" si="7"/>
        <v>3</v>
      </c>
      <c r="F58" s="173"/>
      <c r="G58" s="174">
        <f t="shared" si="8"/>
        <v>0</v>
      </c>
    </row>
    <row r="59" spans="1:7" ht="12.75" customHeight="1">
      <c r="A59" s="48"/>
      <c r="B59" s="72" t="s">
        <v>50</v>
      </c>
      <c r="C59" s="133" t="s">
        <v>15</v>
      </c>
      <c r="D59" s="192">
        <v>3</v>
      </c>
      <c r="E59" s="193">
        <f t="shared" si="7"/>
        <v>3</v>
      </c>
      <c r="F59" s="173"/>
      <c r="G59" s="174">
        <f t="shared" si="8"/>
        <v>0</v>
      </c>
    </row>
    <row r="60" spans="1:7" ht="12.75" customHeight="1">
      <c r="A60" s="48"/>
      <c r="B60" s="72" t="s">
        <v>51</v>
      </c>
      <c r="C60" s="133" t="s">
        <v>15</v>
      </c>
      <c r="D60" s="192">
        <v>0</v>
      </c>
      <c r="E60" s="193">
        <f t="shared" si="7"/>
        <v>0</v>
      </c>
      <c r="F60" s="173"/>
      <c r="G60" s="174">
        <f t="shared" si="8"/>
        <v>0</v>
      </c>
    </row>
    <row r="61" spans="1:7" ht="12.75" customHeight="1">
      <c r="A61" s="48"/>
      <c r="B61" s="72" t="s">
        <v>52</v>
      </c>
      <c r="C61" s="133" t="s">
        <v>15</v>
      </c>
      <c r="D61" s="192">
        <v>2</v>
      </c>
      <c r="E61" s="193">
        <f t="shared" si="7"/>
        <v>2</v>
      </c>
      <c r="F61" s="173"/>
      <c r="G61" s="174">
        <f t="shared" si="8"/>
        <v>0</v>
      </c>
    </row>
    <row r="62" spans="1:7" ht="12.75" customHeight="1">
      <c r="A62" s="48"/>
      <c r="B62" s="49"/>
      <c r="C62" s="131"/>
      <c r="D62" s="170"/>
      <c r="E62" s="171"/>
      <c r="F62" s="171"/>
      <c r="G62" s="144"/>
    </row>
    <row r="63" spans="1:7" ht="106.5" customHeight="1">
      <c r="A63" s="48">
        <f>+A49+1</f>
        <v>5</v>
      </c>
      <c r="B63" s="51" t="s">
        <v>406</v>
      </c>
      <c r="C63" s="134"/>
      <c r="D63" s="130"/>
      <c r="E63" s="175"/>
      <c r="F63" s="173"/>
      <c r="G63" s="147"/>
    </row>
    <row r="64" spans="1:7" ht="12.75" customHeight="1">
      <c r="A64" s="48"/>
      <c r="B64" s="72" t="s">
        <v>32</v>
      </c>
      <c r="C64" s="134" t="s">
        <v>16</v>
      </c>
      <c r="D64" s="192">
        <v>2</v>
      </c>
      <c r="E64" s="175">
        <f t="shared" ref="E64:E75" si="9">+D64</f>
        <v>2</v>
      </c>
      <c r="F64" s="173"/>
      <c r="G64" s="147">
        <f t="shared" ref="G64:G75" si="10">E64*F64</f>
        <v>0</v>
      </c>
    </row>
    <row r="65" spans="1:7" ht="12.75" customHeight="1">
      <c r="A65" s="48"/>
      <c r="B65" s="72" t="s">
        <v>33</v>
      </c>
      <c r="C65" s="134" t="s">
        <v>16</v>
      </c>
      <c r="D65" s="192">
        <v>0</v>
      </c>
      <c r="E65" s="175">
        <f t="shared" si="9"/>
        <v>0</v>
      </c>
      <c r="F65" s="173"/>
      <c r="G65" s="147">
        <f t="shared" si="10"/>
        <v>0</v>
      </c>
    </row>
    <row r="66" spans="1:7" ht="12.75" customHeight="1">
      <c r="A66" s="48"/>
      <c r="B66" s="72" t="s">
        <v>34</v>
      </c>
      <c r="C66" s="134" t="s">
        <v>16</v>
      </c>
      <c r="D66" s="192">
        <v>2</v>
      </c>
      <c r="E66" s="175">
        <f t="shared" si="9"/>
        <v>2</v>
      </c>
      <c r="F66" s="173"/>
      <c r="G66" s="147">
        <f t="shared" si="10"/>
        <v>0</v>
      </c>
    </row>
    <row r="67" spans="1:7" ht="12.75" customHeight="1">
      <c r="A67" s="48"/>
      <c r="B67" s="72" t="s">
        <v>35</v>
      </c>
      <c r="C67" s="134" t="s">
        <v>16</v>
      </c>
      <c r="D67" s="192">
        <v>0</v>
      </c>
      <c r="E67" s="175">
        <f t="shared" si="9"/>
        <v>0</v>
      </c>
      <c r="F67" s="173"/>
      <c r="G67" s="147">
        <f t="shared" si="10"/>
        <v>0</v>
      </c>
    </row>
    <row r="68" spans="1:7" ht="12.75" customHeight="1">
      <c r="A68" s="48"/>
      <c r="B68" s="72" t="s">
        <v>36</v>
      </c>
      <c r="C68" s="134" t="s">
        <v>16</v>
      </c>
      <c r="D68" s="192">
        <v>0</v>
      </c>
      <c r="E68" s="175">
        <f t="shared" si="9"/>
        <v>0</v>
      </c>
      <c r="F68" s="173"/>
      <c r="G68" s="147">
        <f t="shared" si="10"/>
        <v>0</v>
      </c>
    </row>
    <row r="69" spans="1:7" ht="12.75" customHeight="1">
      <c r="A69" s="48"/>
      <c r="B69" s="72" t="s">
        <v>37</v>
      </c>
      <c r="C69" s="134" t="s">
        <v>16</v>
      </c>
      <c r="D69" s="192">
        <v>0</v>
      </c>
      <c r="E69" s="175">
        <f t="shared" si="9"/>
        <v>0</v>
      </c>
      <c r="F69" s="173"/>
      <c r="G69" s="147">
        <f t="shared" si="10"/>
        <v>0</v>
      </c>
    </row>
    <row r="70" spans="1:7" ht="12.75" customHeight="1">
      <c r="A70" s="48"/>
      <c r="B70" s="72" t="s">
        <v>47</v>
      </c>
      <c r="C70" s="134" t="s">
        <v>16</v>
      </c>
      <c r="D70" s="192">
        <v>3</v>
      </c>
      <c r="E70" s="175">
        <f t="shared" si="9"/>
        <v>3</v>
      </c>
      <c r="F70" s="173"/>
      <c r="G70" s="147">
        <f t="shared" si="10"/>
        <v>0</v>
      </c>
    </row>
    <row r="71" spans="1:7" ht="12.75" customHeight="1">
      <c r="A71" s="48"/>
      <c r="B71" s="72" t="s">
        <v>49</v>
      </c>
      <c r="C71" s="134" t="s">
        <v>16</v>
      </c>
      <c r="D71" s="192">
        <v>3</v>
      </c>
      <c r="E71" s="175">
        <f t="shared" si="9"/>
        <v>3</v>
      </c>
      <c r="F71" s="173"/>
      <c r="G71" s="147">
        <f t="shared" si="10"/>
        <v>0</v>
      </c>
    </row>
    <row r="72" spans="1:7" ht="12.75" customHeight="1">
      <c r="A72" s="48"/>
      <c r="B72" s="72" t="s">
        <v>48</v>
      </c>
      <c r="C72" s="134" t="s">
        <v>16</v>
      </c>
      <c r="D72" s="192">
        <v>3</v>
      </c>
      <c r="E72" s="175">
        <f t="shared" si="9"/>
        <v>3</v>
      </c>
      <c r="F72" s="173"/>
      <c r="G72" s="147">
        <f t="shared" si="10"/>
        <v>0</v>
      </c>
    </row>
    <row r="73" spans="1:7" ht="12.75" customHeight="1">
      <c r="A73" s="48"/>
      <c r="B73" s="72" t="s">
        <v>50</v>
      </c>
      <c r="C73" s="134" t="s">
        <v>16</v>
      </c>
      <c r="D73" s="192">
        <v>3</v>
      </c>
      <c r="E73" s="175">
        <f t="shared" si="9"/>
        <v>3</v>
      </c>
      <c r="F73" s="173"/>
      <c r="G73" s="147">
        <f t="shared" si="10"/>
        <v>0</v>
      </c>
    </row>
    <row r="74" spans="1:7" ht="12.75" customHeight="1">
      <c r="A74" s="48"/>
      <c r="B74" s="72" t="s">
        <v>51</v>
      </c>
      <c r="C74" s="134" t="s">
        <v>16</v>
      </c>
      <c r="D74" s="192">
        <v>0</v>
      </c>
      <c r="E74" s="175">
        <f t="shared" si="9"/>
        <v>0</v>
      </c>
      <c r="F74" s="173"/>
      <c r="G74" s="147">
        <f t="shared" si="10"/>
        <v>0</v>
      </c>
    </row>
    <row r="75" spans="1:7" ht="12.75" customHeight="1">
      <c r="A75" s="48"/>
      <c r="B75" s="72" t="s">
        <v>52</v>
      </c>
      <c r="C75" s="134" t="s">
        <v>16</v>
      </c>
      <c r="D75" s="192">
        <v>2</v>
      </c>
      <c r="E75" s="175">
        <f t="shared" si="9"/>
        <v>2</v>
      </c>
      <c r="F75" s="173"/>
      <c r="G75" s="147">
        <f t="shared" si="10"/>
        <v>0</v>
      </c>
    </row>
    <row r="76" spans="1:7" ht="12.75" customHeight="1">
      <c r="A76" s="48"/>
      <c r="B76" s="52"/>
      <c r="C76" s="134"/>
      <c r="D76" s="130"/>
      <c r="E76" s="175"/>
      <c r="F76" s="173"/>
      <c r="G76" s="147"/>
    </row>
    <row r="77" spans="1:7" ht="153">
      <c r="A77" s="48">
        <f>+A63+1</f>
        <v>6</v>
      </c>
      <c r="B77" s="446" t="s">
        <v>407</v>
      </c>
      <c r="C77" s="134"/>
      <c r="D77" s="130"/>
      <c r="E77" s="175"/>
      <c r="F77" s="173"/>
      <c r="G77" s="147"/>
    </row>
    <row r="78" spans="1:7" ht="12.75" customHeight="1">
      <c r="A78" s="48"/>
      <c r="B78" s="72" t="s">
        <v>32</v>
      </c>
      <c r="C78" s="134" t="s">
        <v>17</v>
      </c>
      <c r="D78" s="161" t="s">
        <v>90</v>
      </c>
      <c r="E78" s="161">
        <f>+(70+48)*5.6</f>
        <v>660.8</v>
      </c>
      <c r="F78" s="173"/>
      <c r="G78" s="147">
        <f t="shared" ref="G78:G89" si="11">E78*F78</f>
        <v>0</v>
      </c>
    </row>
    <row r="79" spans="1:7" ht="25.5">
      <c r="A79" s="48"/>
      <c r="B79" s="72" t="s">
        <v>33</v>
      </c>
      <c r="C79" s="134" t="s">
        <v>17</v>
      </c>
      <c r="D79" s="161" t="s">
        <v>91</v>
      </c>
      <c r="E79" s="54">
        <f>+(7+11+56+8+27)*5.6</f>
        <v>610.4</v>
      </c>
      <c r="F79" s="262"/>
      <c r="G79" s="465">
        <f t="shared" si="11"/>
        <v>0</v>
      </c>
    </row>
    <row r="80" spans="1:7" ht="12.75" customHeight="1">
      <c r="A80" s="48"/>
      <c r="B80" s="72" t="s">
        <v>34</v>
      </c>
      <c r="C80" s="134" t="s">
        <v>17</v>
      </c>
      <c r="D80" s="161" t="s">
        <v>92</v>
      </c>
      <c r="E80" s="161">
        <f>75*5.6</f>
        <v>420</v>
      </c>
      <c r="F80" s="173"/>
      <c r="G80" s="147">
        <f t="shared" si="11"/>
        <v>0</v>
      </c>
    </row>
    <row r="81" spans="1:7" ht="12.75" customHeight="1">
      <c r="A81" s="48"/>
      <c r="B81" s="72" t="s">
        <v>35</v>
      </c>
      <c r="C81" s="134" t="s">
        <v>17</v>
      </c>
      <c r="D81" s="161">
        <v>0</v>
      </c>
      <c r="E81" s="161">
        <v>0</v>
      </c>
      <c r="F81" s="173"/>
      <c r="G81" s="147">
        <f t="shared" si="11"/>
        <v>0</v>
      </c>
    </row>
    <row r="82" spans="1:7" ht="12.75" customHeight="1">
      <c r="A82" s="48"/>
      <c r="B82" s="72" t="s">
        <v>36</v>
      </c>
      <c r="C82" s="134" t="s">
        <v>17</v>
      </c>
      <c r="D82" s="161" t="s">
        <v>93</v>
      </c>
      <c r="E82" s="161">
        <f>75*5.6</f>
        <v>420</v>
      </c>
      <c r="F82" s="173"/>
      <c r="G82" s="147">
        <f t="shared" si="11"/>
        <v>0</v>
      </c>
    </row>
    <row r="83" spans="1:7" ht="12.75" customHeight="1">
      <c r="A83" s="48"/>
      <c r="B83" s="72" t="s">
        <v>37</v>
      </c>
      <c r="C83" s="134" t="s">
        <v>17</v>
      </c>
      <c r="D83" s="161" t="s">
        <v>94</v>
      </c>
      <c r="E83" s="161">
        <f>58*5.6</f>
        <v>324.79999999999995</v>
      </c>
      <c r="F83" s="173"/>
      <c r="G83" s="147">
        <f t="shared" si="11"/>
        <v>0</v>
      </c>
    </row>
    <row r="84" spans="1:7" ht="12.75" customHeight="1">
      <c r="A84" s="48"/>
      <c r="B84" s="72" t="s">
        <v>47</v>
      </c>
      <c r="C84" s="134" t="s">
        <v>17</v>
      </c>
      <c r="D84" s="161">
        <v>0</v>
      </c>
      <c r="E84" s="161">
        <v>0</v>
      </c>
      <c r="F84" s="173"/>
      <c r="G84" s="147">
        <f t="shared" si="11"/>
        <v>0</v>
      </c>
    </row>
    <row r="85" spans="1:7" ht="12.75" customHeight="1">
      <c r="A85" s="48"/>
      <c r="B85" s="72" t="s">
        <v>49</v>
      </c>
      <c r="C85" s="134" t="s">
        <v>17</v>
      </c>
      <c r="D85" s="161">
        <v>0</v>
      </c>
      <c r="E85" s="161">
        <v>0</v>
      </c>
      <c r="F85" s="173"/>
      <c r="G85" s="147">
        <f t="shared" si="11"/>
        <v>0</v>
      </c>
    </row>
    <row r="86" spans="1:7" ht="12.75" customHeight="1">
      <c r="A86" s="48"/>
      <c r="B86" s="72" t="s">
        <v>48</v>
      </c>
      <c r="C86" s="134" t="s">
        <v>17</v>
      </c>
      <c r="D86" s="161">
        <v>0</v>
      </c>
      <c r="E86" s="161">
        <v>0</v>
      </c>
      <c r="F86" s="173"/>
      <c r="G86" s="147">
        <f t="shared" si="11"/>
        <v>0</v>
      </c>
    </row>
    <row r="87" spans="1:7" ht="12.75" customHeight="1">
      <c r="A87" s="48"/>
      <c r="B87" s="72" t="s">
        <v>50</v>
      </c>
      <c r="C87" s="134" t="s">
        <v>17</v>
      </c>
      <c r="D87" s="161" t="s">
        <v>95</v>
      </c>
      <c r="E87" s="161">
        <f>113*5.6</f>
        <v>632.79999999999995</v>
      </c>
      <c r="F87" s="173"/>
      <c r="G87" s="147">
        <f t="shared" si="11"/>
        <v>0</v>
      </c>
    </row>
    <row r="88" spans="1:7" ht="12.75" customHeight="1">
      <c r="A88" s="48"/>
      <c r="B88" s="72" t="s">
        <v>51</v>
      </c>
      <c r="C88" s="134" t="s">
        <v>17</v>
      </c>
      <c r="D88" s="161">
        <v>0</v>
      </c>
      <c r="E88" s="161">
        <v>0</v>
      </c>
      <c r="F88" s="173"/>
      <c r="G88" s="147">
        <f t="shared" si="11"/>
        <v>0</v>
      </c>
    </row>
    <row r="89" spans="1:7" ht="12.75" customHeight="1">
      <c r="A89" s="48"/>
      <c r="B89" s="72" t="s">
        <v>52</v>
      </c>
      <c r="C89" s="134" t="s">
        <v>17</v>
      </c>
      <c r="D89" s="161">
        <v>0</v>
      </c>
      <c r="E89" s="161">
        <v>0</v>
      </c>
      <c r="F89" s="173"/>
      <c r="G89" s="147">
        <f t="shared" si="11"/>
        <v>0</v>
      </c>
    </row>
    <row r="90" spans="1:7" ht="12.75" customHeight="1">
      <c r="A90" s="48"/>
      <c r="B90" s="52"/>
      <c r="C90" s="134"/>
      <c r="D90" s="130"/>
      <c r="E90" s="175"/>
      <c r="F90" s="173"/>
      <c r="G90" s="147"/>
    </row>
    <row r="91" spans="1:7" ht="131.25" customHeight="1">
      <c r="A91" s="48">
        <f>+A77+1</f>
        <v>7</v>
      </c>
      <c r="B91" s="446" t="s">
        <v>408</v>
      </c>
      <c r="C91" s="134"/>
      <c r="D91" s="130"/>
      <c r="E91" s="175"/>
      <c r="F91" s="173"/>
      <c r="G91" s="147"/>
    </row>
    <row r="92" spans="1:7" ht="12.75" customHeight="1">
      <c r="A92" s="48"/>
      <c r="B92" s="72" t="s">
        <v>32</v>
      </c>
      <c r="C92" s="134" t="s">
        <v>15</v>
      </c>
      <c r="D92" s="161" t="s">
        <v>87</v>
      </c>
      <c r="E92" s="161">
        <f>2+1+10+6</f>
        <v>19</v>
      </c>
      <c r="F92" s="173"/>
      <c r="G92" s="147">
        <f t="shared" ref="G92:G103" si="12">E92*F92</f>
        <v>0</v>
      </c>
    </row>
    <row r="93" spans="1:7" ht="12.75" customHeight="1">
      <c r="A93" s="48"/>
      <c r="B93" s="72" t="s">
        <v>33</v>
      </c>
      <c r="C93" s="134" t="s">
        <v>15</v>
      </c>
      <c r="D93" s="161" t="s">
        <v>89</v>
      </c>
      <c r="E93" s="161">
        <f>1+6+1+2</f>
        <v>10</v>
      </c>
      <c r="F93" s="173"/>
      <c r="G93" s="147">
        <f t="shared" si="12"/>
        <v>0</v>
      </c>
    </row>
    <row r="94" spans="1:7" ht="12.75" customHeight="1">
      <c r="A94" s="48"/>
      <c r="B94" s="72" t="s">
        <v>34</v>
      </c>
      <c r="C94" s="134" t="s">
        <v>15</v>
      </c>
      <c r="D94" s="161">
        <v>0</v>
      </c>
      <c r="E94" s="161">
        <v>0</v>
      </c>
      <c r="F94" s="173"/>
      <c r="G94" s="147">
        <f t="shared" si="12"/>
        <v>0</v>
      </c>
    </row>
    <row r="95" spans="1:7" ht="12.75" customHeight="1">
      <c r="A95" s="48"/>
      <c r="B95" s="72" t="s">
        <v>35</v>
      </c>
      <c r="C95" s="134" t="s">
        <v>15</v>
      </c>
      <c r="D95" s="161">
        <v>0</v>
      </c>
      <c r="E95" s="161">
        <v>0</v>
      </c>
      <c r="F95" s="173"/>
      <c r="G95" s="147">
        <f t="shared" si="12"/>
        <v>0</v>
      </c>
    </row>
    <row r="96" spans="1:7" ht="12.75" customHeight="1">
      <c r="A96" s="48"/>
      <c r="B96" s="72" t="s">
        <v>36</v>
      </c>
      <c r="C96" s="134" t="s">
        <v>15</v>
      </c>
      <c r="D96" s="161">
        <v>3</v>
      </c>
      <c r="E96" s="161">
        <f>+D96</f>
        <v>3</v>
      </c>
      <c r="F96" s="173"/>
      <c r="G96" s="147">
        <f t="shared" si="12"/>
        <v>0</v>
      </c>
    </row>
    <row r="97" spans="1:7" ht="12.75" customHeight="1">
      <c r="A97" s="48"/>
      <c r="B97" s="72" t="s">
        <v>37</v>
      </c>
      <c r="C97" s="134" t="s">
        <v>15</v>
      </c>
      <c r="D97" s="161">
        <v>2</v>
      </c>
      <c r="E97" s="161">
        <f>+D97</f>
        <v>2</v>
      </c>
      <c r="F97" s="173"/>
      <c r="G97" s="147">
        <f t="shared" si="12"/>
        <v>0</v>
      </c>
    </row>
    <row r="98" spans="1:7" ht="12.75" customHeight="1">
      <c r="A98" s="48"/>
      <c r="B98" s="72" t="s">
        <v>47</v>
      </c>
      <c r="C98" s="134" t="s">
        <v>15</v>
      </c>
      <c r="D98" s="161">
        <v>0</v>
      </c>
      <c r="E98" s="161">
        <v>0</v>
      </c>
      <c r="F98" s="173"/>
      <c r="G98" s="147">
        <f t="shared" si="12"/>
        <v>0</v>
      </c>
    </row>
    <row r="99" spans="1:7" ht="12.75" customHeight="1">
      <c r="A99" s="48"/>
      <c r="B99" s="72" t="s">
        <v>49</v>
      </c>
      <c r="C99" s="134" t="s">
        <v>15</v>
      </c>
      <c r="D99" s="161">
        <v>0</v>
      </c>
      <c r="E99" s="161">
        <v>0</v>
      </c>
      <c r="F99" s="173"/>
      <c r="G99" s="147">
        <f t="shared" si="12"/>
        <v>0</v>
      </c>
    </row>
    <row r="100" spans="1:7" ht="12.75" customHeight="1">
      <c r="A100" s="48"/>
      <c r="B100" s="72" t="s">
        <v>48</v>
      </c>
      <c r="C100" s="134" t="s">
        <v>15</v>
      </c>
      <c r="D100" s="161">
        <v>0</v>
      </c>
      <c r="E100" s="161">
        <v>0</v>
      </c>
      <c r="F100" s="173"/>
      <c r="G100" s="147">
        <f t="shared" si="12"/>
        <v>0</v>
      </c>
    </row>
    <row r="101" spans="1:7" ht="12.75" customHeight="1">
      <c r="A101" s="48"/>
      <c r="B101" s="72" t="s">
        <v>50</v>
      </c>
      <c r="C101" s="134" t="s">
        <v>15</v>
      </c>
      <c r="D101" s="161">
        <v>4</v>
      </c>
      <c r="E101" s="161">
        <f>+D101</f>
        <v>4</v>
      </c>
      <c r="F101" s="173"/>
      <c r="G101" s="147">
        <f t="shared" si="12"/>
        <v>0</v>
      </c>
    </row>
    <row r="102" spans="1:7" ht="12.75" customHeight="1">
      <c r="A102" s="48"/>
      <c r="B102" s="72" t="s">
        <v>51</v>
      </c>
      <c r="C102" s="134" t="s">
        <v>15</v>
      </c>
      <c r="D102" s="161">
        <v>0</v>
      </c>
      <c r="E102" s="161">
        <v>0</v>
      </c>
      <c r="F102" s="173"/>
      <c r="G102" s="147">
        <f t="shared" si="12"/>
        <v>0</v>
      </c>
    </row>
    <row r="103" spans="1:7" ht="12.75" customHeight="1">
      <c r="A103" s="48"/>
      <c r="B103" s="72" t="s">
        <v>52</v>
      </c>
      <c r="C103" s="134" t="s">
        <v>15</v>
      </c>
      <c r="D103" s="161">
        <v>0</v>
      </c>
      <c r="E103" s="161">
        <v>0</v>
      </c>
      <c r="F103" s="173"/>
      <c r="G103" s="147">
        <f t="shared" si="12"/>
        <v>0</v>
      </c>
    </row>
    <row r="104" spans="1:7" ht="12.75" customHeight="1">
      <c r="A104" s="48"/>
      <c r="B104" s="52"/>
      <c r="C104" s="134"/>
      <c r="D104" s="130"/>
      <c r="E104" s="175"/>
      <c r="F104" s="173"/>
      <c r="G104" s="147"/>
    </row>
    <row r="105" spans="1:7" ht="165.75">
      <c r="A105" s="48">
        <f>+A91+1</f>
        <v>8</v>
      </c>
      <c r="B105" s="53" t="s">
        <v>53</v>
      </c>
      <c r="C105" s="136"/>
      <c r="D105" s="161"/>
      <c r="E105" s="161"/>
      <c r="F105" s="162"/>
      <c r="G105" s="147"/>
    </row>
    <row r="106" spans="1:7" ht="26.25">
      <c r="A106" s="48"/>
      <c r="B106" s="72" t="s">
        <v>32</v>
      </c>
      <c r="C106" s="136" t="s">
        <v>16</v>
      </c>
      <c r="D106" s="54" t="s">
        <v>409</v>
      </c>
      <c r="E106" s="54">
        <f>+(11.5*0.8)+(10*1.2)+(59*1.5)</f>
        <v>109.7</v>
      </c>
      <c r="F106" s="55"/>
      <c r="G106" s="465">
        <f t="shared" ref="G106:G117" si="13">E106*F106</f>
        <v>0</v>
      </c>
    </row>
    <row r="107" spans="1:7" ht="12.75" customHeight="1">
      <c r="A107" s="48"/>
      <c r="B107" s="72" t="s">
        <v>33</v>
      </c>
      <c r="C107" s="136" t="s">
        <v>16</v>
      </c>
      <c r="D107" s="161" t="s">
        <v>103</v>
      </c>
      <c r="E107" s="161">
        <f>+(2.5+2.5)*1.2</f>
        <v>6</v>
      </c>
      <c r="F107" s="162"/>
      <c r="G107" s="147">
        <f t="shared" si="13"/>
        <v>0</v>
      </c>
    </row>
    <row r="108" spans="1:7" ht="12.75" customHeight="1">
      <c r="A108" s="48"/>
      <c r="B108" s="72" t="s">
        <v>34</v>
      </c>
      <c r="C108" s="136" t="s">
        <v>16</v>
      </c>
      <c r="D108" s="161">
        <v>0</v>
      </c>
      <c r="E108" s="161">
        <v>0</v>
      </c>
      <c r="F108" s="162"/>
      <c r="G108" s="147">
        <f t="shared" si="13"/>
        <v>0</v>
      </c>
    </row>
    <row r="109" spans="1:7" ht="12.75" customHeight="1">
      <c r="A109" s="48"/>
      <c r="B109" s="72" t="s">
        <v>35</v>
      </c>
      <c r="C109" s="136" t="s">
        <v>16</v>
      </c>
      <c r="D109" s="161">
        <v>0</v>
      </c>
      <c r="E109" s="161">
        <v>0</v>
      </c>
      <c r="F109" s="162"/>
      <c r="G109" s="147">
        <f t="shared" si="13"/>
        <v>0</v>
      </c>
    </row>
    <row r="110" spans="1:7" ht="12.75" customHeight="1">
      <c r="A110" s="48"/>
      <c r="B110" s="72" t="s">
        <v>36</v>
      </c>
      <c r="C110" s="136" t="s">
        <v>16</v>
      </c>
      <c r="D110" s="161" t="s">
        <v>102</v>
      </c>
      <c r="E110" s="54">
        <f>32*1.2+4*2</f>
        <v>46.4</v>
      </c>
      <c r="F110" s="55"/>
      <c r="G110" s="465">
        <f t="shared" si="13"/>
        <v>0</v>
      </c>
    </row>
    <row r="111" spans="1:7" ht="12.75" customHeight="1">
      <c r="A111" s="48"/>
      <c r="B111" s="72" t="s">
        <v>37</v>
      </c>
      <c r="C111" s="136" t="s">
        <v>16</v>
      </c>
      <c r="D111" s="161">
        <v>0</v>
      </c>
      <c r="E111" s="161">
        <v>0</v>
      </c>
      <c r="F111" s="162"/>
      <c r="G111" s="147">
        <f t="shared" si="13"/>
        <v>0</v>
      </c>
    </row>
    <row r="112" spans="1:7" ht="12.75" customHeight="1">
      <c r="A112" s="48"/>
      <c r="B112" s="72" t="s">
        <v>47</v>
      </c>
      <c r="C112" s="136" t="s">
        <v>16</v>
      </c>
      <c r="D112" s="161">
        <v>0</v>
      </c>
      <c r="E112" s="161">
        <v>0</v>
      </c>
      <c r="F112" s="162"/>
      <c r="G112" s="147">
        <f t="shared" si="13"/>
        <v>0</v>
      </c>
    </row>
    <row r="113" spans="1:7" ht="12.75" customHeight="1">
      <c r="A113" s="48"/>
      <c r="B113" s="72" t="s">
        <v>49</v>
      </c>
      <c r="C113" s="136" t="s">
        <v>16</v>
      </c>
      <c r="D113" s="161">
        <v>0</v>
      </c>
      <c r="E113" s="161">
        <v>0</v>
      </c>
      <c r="F113" s="162"/>
      <c r="G113" s="147">
        <f t="shared" si="13"/>
        <v>0</v>
      </c>
    </row>
    <row r="114" spans="1:7" ht="12.75" customHeight="1">
      <c r="A114" s="48"/>
      <c r="B114" s="72" t="s">
        <v>48</v>
      </c>
      <c r="C114" s="136" t="s">
        <v>16</v>
      </c>
      <c r="D114" s="161">
        <v>0</v>
      </c>
      <c r="E114" s="161">
        <v>0</v>
      </c>
      <c r="F114" s="162"/>
      <c r="G114" s="147">
        <f t="shared" si="13"/>
        <v>0</v>
      </c>
    </row>
    <row r="115" spans="1:7" ht="12.75" customHeight="1">
      <c r="A115" s="48"/>
      <c r="B115" s="72" t="s">
        <v>50</v>
      </c>
      <c r="C115" s="136" t="s">
        <v>16</v>
      </c>
      <c r="D115" s="161" t="s">
        <v>101</v>
      </c>
      <c r="E115" s="161">
        <f>59*1.2</f>
        <v>70.8</v>
      </c>
      <c r="F115" s="162"/>
      <c r="G115" s="147">
        <f t="shared" si="13"/>
        <v>0</v>
      </c>
    </row>
    <row r="116" spans="1:7" ht="12.75" customHeight="1">
      <c r="A116" s="48"/>
      <c r="B116" s="72" t="s">
        <v>51</v>
      </c>
      <c r="C116" s="136" t="s">
        <v>16</v>
      </c>
      <c r="D116" s="161" t="s">
        <v>104</v>
      </c>
      <c r="E116" s="161">
        <f>45*1.2</f>
        <v>54</v>
      </c>
      <c r="F116" s="162"/>
      <c r="G116" s="147">
        <f t="shared" si="13"/>
        <v>0</v>
      </c>
    </row>
    <row r="117" spans="1:7" ht="12.75" customHeight="1">
      <c r="A117" s="48"/>
      <c r="B117" s="72" t="s">
        <v>52</v>
      </c>
      <c r="C117" s="136" t="s">
        <v>16</v>
      </c>
      <c r="D117" s="130" t="s">
        <v>143</v>
      </c>
      <c r="E117" s="130">
        <f>2.5*1.5*4</f>
        <v>15</v>
      </c>
      <c r="F117" s="162"/>
      <c r="G117" s="147">
        <f t="shared" si="13"/>
        <v>0</v>
      </c>
    </row>
    <row r="118" spans="1:7" ht="12.75" customHeight="1">
      <c r="A118" s="48"/>
      <c r="B118" s="53"/>
      <c r="C118" s="136"/>
      <c r="D118" s="161"/>
      <c r="E118" s="161"/>
      <c r="F118" s="162"/>
      <c r="G118" s="163"/>
    </row>
    <row r="119" spans="1:7" ht="204">
      <c r="A119" s="48">
        <f>+A105+1</f>
        <v>9</v>
      </c>
      <c r="B119" s="53" t="s">
        <v>88</v>
      </c>
      <c r="C119" s="137"/>
      <c r="D119" s="164"/>
      <c r="E119" s="164"/>
      <c r="F119" s="165"/>
      <c r="G119" s="147"/>
    </row>
    <row r="120" spans="1:7" ht="12.75" customHeight="1">
      <c r="A120" s="48"/>
      <c r="B120" s="72" t="s">
        <v>32</v>
      </c>
      <c r="C120" s="137" t="s">
        <v>17</v>
      </c>
      <c r="D120" s="164">
        <v>0</v>
      </c>
      <c r="E120" s="164">
        <f>+D120</f>
        <v>0</v>
      </c>
      <c r="F120" s="165"/>
      <c r="G120" s="147">
        <f>E120*F120</f>
        <v>0</v>
      </c>
    </row>
    <row r="121" spans="1:7" ht="12.75" customHeight="1">
      <c r="A121" s="48"/>
      <c r="B121" s="72" t="s">
        <v>33</v>
      </c>
      <c r="C121" s="137" t="s">
        <v>17</v>
      </c>
      <c r="D121" s="164">
        <v>0</v>
      </c>
      <c r="E121" s="164">
        <f t="shared" ref="E121:E128" si="14">+D121</f>
        <v>0</v>
      </c>
      <c r="F121" s="165"/>
      <c r="G121" s="147">
        <f t="shared" ref="G121:G131" si="15">E121*F121</f>
        <v>0</v>
      </c>
    </row>
    <row r="122" spans="1:7" ht="12.75" customHeight="1">
      <c r="A122" s="48"/>
      <c r="B122" s="72" t="s">
        <v>34</v>
      </c>
      <c r="C122" s="137" t="s">
        <v>17</v>
      </c>
      <c r="D122" s="164">
        <v>0</v>
      </c>
      <c r="E122" s="164">
        <f t="shared" si="14"/>
        <v>0</v>
      </c>
      <c r="F122" s="165"/>
      <c r="G122" s="147">
        <f t="shared" si="15"/>
        <v>0</v>
      </c>
    </row>
    <row r="123" spans="1:7" ht="12.75" customHeight="1">
      <c r="A123" s="48"/>
      <c r="B123" s="72" t="s">
        <v>35</v>
      </c>
      <c r="C123" s="137" t="s">
        <v>17</v>
      </c>
      <c r="D123" s="164">
        <v>0</v>
      </c>
      <c r="E123" s="164">
        <f t="shared" si="14"/>
        <v>0</v>
      </c>
      <c r="F123" s="165"/>
      <c r="G123" s="147">
        <f t="shared" si="15"/>
        <v>0</v>
      </c>
    </row>
    <row r="124" spans="1:7" ht="12.75" customHeight="1">
      <c r="A124" s="48"/>
      <c r="B124" s="72" t="s">
        <v>36</v>
      </c>
      <c r="C124" s="137" t="s">
        <v>17</v>
      </c>
      <c r="D124" s="164">
        <v>0</v>
      </c>
      <c r="E124" s="164">
        <f t="shared" si="14"/>
        <v>0</v>
      </c>
      <c r="F124" s="165"/>
      <c r="G124" s="147">
        <f t="shared" si="15"/>
        <v>0</v>
      </c>
    </row>
    <row r="125" spans="1:7" ht="12.75" customHeight="1">
      <c r="A125" s="48"/>
      <c r="B125" s="72" t="s">
        <v>37</v>
      </c>
      <c r="C125" s="137" t="s">
        <v>17</v>
      </c>
      <c r="D125" s="164">
        <v>0</v>
      </c>
      <c r="E125" s="164">
        <f t="shared" si="14"/>
        <v>0</v>
      </c>
      <c r="F125" s="165"/>
      <c r="G125" s="147">
        <f t="shared" si="15"/>
        <v>0</v>
      </c>
    </row>
    <row r="126" spans="1:7" ht="12.75" customHeight="1">
      <c r="A126" s="48"/>
      <c r="B126" s="72" t="s">
        <v>47</v>
      </c>
      <c r="C126" s="137" t="s">
        <v>17</v>
      </c>
      <c r="D126" s="164">
        <v>0</v>
      </c>
      <c r="E126" s="164">
        <f t="shared" si="14"/>
        <v>0</v>
      </c>
      <c r="F126" s="165"/>
      <c r="G126" s="147">
        <f t="shared" si="15"/>
        <v>0</v>
      </c>
    </row>
    <row r="127" spans="1:7" ht="12.75" customHeight="1">
      <c r="A127" s="48"/>
      <c r="B127" s="72" t="s">
        <v>49</v>
      </c>
      <c r="C127" s="137" t="s">
        <v>17</v>
      </c>
      <c r="D127" s="164">
        <v>0</v>
      </c>
      <c r="E127" s="164">
        <f t="shared" si="14"/>
        <v>0</v>
      </c>
      <c r="F127" s="165"/>
      <c r="G127" s="147">
        <f t="shared" si="15"/>
        <v>0</v>
      </c>
    </row>
    <row r="128" spans="1:7" ht="12.75" customHeight="1">
      <c r="A128" s="48"/>
      <c r="B128" s="72" t="s">
        <v>48</v>
      </c>
      <c r="C128" s="137" t="s">
        <v>17</v>
      </c>
      <c r="D128" s="164">
        <v>0</v>
      </c>
      <c r="E128" s="164">
        <f t="shared" si="14"/>
        <v>0</v>
      </c>
      <c r="F128" s="165"/>
      <c r="G128" s="147">
        <f t="shared" si="15"/>
        <v>0</v>
      </c>
    </row>
    <row r="129" spans="1:7" ht="12.75" customHeight="1">
      <c r="A129" s="48"/>
      <c r="B129" s="72" t="s">
        <v>50</v>
      </c>
      <c r="C129" s="137" t="s">
        <v>17</v>
      </c>
      <c r="D129" s="164" t="s">
        <v>217</v>
      </c>
      <c r="E129" s="164">
        <f>47*2.2</f>
        <v>103.4</v>
      </c>
      <c r="F129" s="165"/>
      <c r="G129" s="147">
        <f t="shared" si="15"/>
        <v>0</v>
      </c>
    </row>
    <row r="130" spans="1:7" ht="12.75" customHeight="1">
      <c r="A130" s="48"/>
      <c r="B130" s="72" t="s">
        <v>51</v>
      </c>
      <c r="C130" s="137" t="s">
        <v>17</v>
      </c>
      <c r="D130" s="164" t="s">
        <v>100</v>
      </c>
      <c r="E130" s="164">
        <f>40*5.6</f>
        <v>224</v>
      </c>
      <c r="F130" s="165"/>
      <c r="G130" s="147">
        <f t="shared" si="15"/>
        <v>0</v>
      </c>
    </row>
    <row r="131" spans="1:7" ht="12.75" customHeight="1">
      <c r="A131" s="48"/>
      <c r="B131" s="72" t="s">
        <v>52</v>
      </c>
      <c r="C131" s="137" t="s">
        <v>17</v>
      </c>
      <c r="D131" s="164">
        <v>0</v>
      </c>
      <c r="E131" s="164">
        <f>+D131</f>
        <v>0</v>
      </c>
      <c r="F131" s="165"/>
      <c r="G131" s="147">
        <f t="shared" si="15"/>
        <v>0</v>
      </c>
    </row>
    <row r="132" spans="1:7" ht="12.75" customHeight="1">
      <c r="A132" s="48"/>
      <c r="B132" s="56"/>
      <c r="C132" s="137"/>
      <c r="D132" s="164"/>
      <c r="E132" s="164"/>
      <c r="F132" s="165"/>
      <c r="G132" s="147"/>
    </row>
    <row r="133" spans="1:7" ht="193.5" customHeight="1">
      <c r="A133" s="48">
        <f>+A119+1</f>
        <v>10</v>
      </c>
      <c r="B133" s="53" t="s">
        <v>55</v>
      </c>
      <c r="C133" s="137"/>
      <c r="D133" s="164"/>
      <c r="E133" s="164"/>
      <c r="F133" s="165"/>
      <c r="G133" s="147"/>
    </row>
    <row r="134" spans="1:7">
      <c r="A134" s="48"/>
      <c r="B134" s="72" t="s">
        <v>32</v>
      </c>
      <c r="C134" s="137" t="s">
        <v>17</v>
      </c>
      <c r="D134" s="164" t="s">
        <v>257</v>
      </c>
      <c r="E134" s="57">
        <f>38*2.2</f>
        <v>83.600000000000009</v>
      </c>
      <c r="F134" s="58"/>
      <c r="G134" s="466">
        <f t="shared" ref="G134" si="16">E134*F134</f>
        <v>0</v>
      </c>
    </row>
    <row r="135" spans="1:7" ht="12.75" customHeight="1">
      <c r="A135" s="48"/>
      <c r="B135" s="72" t="s">
        <v>33</v>
      </c>
      <c r="C135" s="137" t="s">
        <v>17</v>
      </c>
      <c r="D135" s="161" t="s">
        <v>144</v>
      </c>
      <c r="E135" s="161">
        <f>145*2.05</f>
        <v>297.25</v>
      </c>
      <c r="F135" s="165"/>
      <c r="G135" s="147">
        <f t="shared" ref="G135:G145" si="17">E135*F135</f>
        <v>0</v>
      </c>
    </row>
    <row r="136" spans="1:7" ht="12.75" customHeight="1">
      <c r="A136" s="48"/>
      <c r="B136" s="72" t="s">
        <v>34</v>
      </c>
      <c r="C136" s="137" t="s">
        <v>17</v>
      </c>
      <c r="D136" s="161" t="s">
        <v>97</v>
      </c>
      <c r="E136" s="161">
        <f>138.06*2.1</f>
        <v>289.92600000000004</v>
      </c>
      <c r="F136" s="165"/>
      <c r="G136" s="147">
        <f t="shared" si="17"/>
        <v>0</v>
      </c>
    </row>
    <row r="137" spans="1:7" ht="12.75" customHeight="1">
      <c r="A137" s="48"/>
      <c r="B137" s="72" t="s">
        <v>35</v>
      </c>
      <c r="C137" s="137" t="s">
        <v>17</v>
      </c>
      <c r="D137" s="161" t="s">
        <v>98</v>
      </c>
      <c r="E137" s="161">
        <f>120.15*2.1</f>
        <v>252.31500000000003</v>
      </c>
      <c r="F137" s="165"/>
      <c r="G137" s="147">
        <f t="shared" si="17"/>
        <v>0</v>
      </c>
    </row>
    <row r="138" spans="1:7" ht="12.75" customHeight="1">
      <c r="A138" s="48"/>
      <c r="B138" s="72" t="s">
        <v>36</v>
      </c>
      <c r="C138" s="137" t="s">
        <v>17</v>
      </c>
      <c r="D138" s="161">
        <v>0</v>
      </c>
      <c r="E138" s="161">
        <v>0</v>
      </c>
      <c r="F138" s="165"/>
      <c r="G138" s="147">
        <f t="shared" si="17"/>
        <v>0</v>
      </c>
    </row>
    <row r="139" spans="1:7" ht="12.75" customHeight="1">
      <c r="A139" s="48"/>
      <c r="B139" s="72" t="s">
        <v>37</v>
      </c>
      <c r="C139" s="137" t="s">
        <v>17</v>
      </c>
      <c r="D139" s="161">
        <v>0</v>
      </c>
      <c r="E139" s="161">
        <v>0</v>
      </c>
      <c r="F139" s="165"/>
      <c r="G139" s="147">
        <f t="shared" si="17"/>
        <v>0</v>
      </c>
    </row>
    <row r="140" spans="1:7" ht="12.75" customHeight="1">
      <c r="A140" s="48"/>
      <c r="B140" s="72" t="s">
        <v>47</v>
      </c>
      <c r="C140" s="137" t="s">
        <v>17</v>
      </c>
      <c r="D140" s="161" t="s">
        <v>99</v>
      </c>
      <c r="E140" s="161">
        <f>239.5*2.3</f>
        <v>550.84999999999991</v>
      </c>
      <c r="F140" s="165"/>
      <c r="G140" s="147">
        <f t="shared" si="17"/>
        <v>0</v>
      </c>
    </row>
    <row r="141" spans="1:7" ht="12.75" customHeight="1">
      <c r="A141" s="48"/>
      <c r="B141" s="72" t="s">
        <v>49</v>
      </c>
      <c r="C141" s="137" t="s">
        <v>17</v>
      </c>
      <c r="D141" s="161">
        <v>0</v>
      </c>
      <c r="E141" s="164">
        <f>+D141</f>
        <v>0</v>
      </c>
      <c r="F141" s="165"/>
      <c r="G141" s="147">
        <f t="shared" si="17"/>
        <v>0</v>
      </c>
    </row>
    <row r="142" spans="1:7" ht="12.75" customHeight="1">
      <c r="A142" s="48"/>
      <c r="B142" s="72" t="s">
        <v>48</v>
      </c>
      <c r="C142" s="137" t="s">
        <v>17</v>
      </c>
      <c r="D142" s="161">
        <v>0</v>
      </c>
      <c r="E142" s="164">
        <f t="shared" ref="E142:E145" si="18">+D142</f>
        <v>0</v>
      </c>
      <c r="F142" s="165"/>
      <c r="G142" s="147">
        <f t="shared" si="17"/>
        <v>0</v>
      </c>
    </row>
    <row r="143" spans="1:7" ht="12.75" customHeight="1">
      <c r="A143" s="48"/>
      <c r="B143" s="72" t="s">
        <v>50</v>
      </c>
      <c r="C143" s="137" t="s">
        <v>17</v>
      </c>
      <c r="D143" s="161" t="s">
        <v>206</v>
      </c>
      <c r="E143" s="161">
        <f>57*2.2</f>
        <v>125.4</v>
      </c>
      <c r="F143" s="165"/>
      <c r="G143" s="147">
        <f t="shared" si="17"/>
        <v>0</v>
      </c>
    </row>
    <row r="144" spans="1:7" ht="12.75" customHeight="1">
      <c r="A144" s="48"/>
      <c r="B144" s="72" t="s">
        <v>51</v>
      </c>
      <c r="C144" s="137" t="s">
        <v>17</v>
      </c>
      <c r="D144" s="161">
        <v>0</v>
      </c>
      <c r="E144" s="164">
        <f t="shared" si="18"/>
        <v>0</v>
      </c>
      <c r="F144" s="165"/>
      <c r="G144" s="147">
        <f t="shared" si="17"/>
        <v>0</v>
      </c>
    </row>
    <row r="145" spans="1:7" ht="12.75" customHeight="1">
      <c r="A145" s="48"/>
      <c r="B145" s="72" t="s">
        <v>52</v>
      </c>
      <c r="C145" s="137" t="s">
        <v>17</v>
      </c>
      <c r="D145" s="161">
        <v>0</v>
      </c>
      <c r="E145" s="164">
        <f t="shared" si="18"/>
        <v>0</v>
      </c>
      <c r="F145" s="165"/>
      <c r="G145" s="147">
        <f t="shared" si="17"/>
        <v>0</v>
      </c>
    </row>
    <row r="146" spans="1:7" ht="12.75" customHeight="1">
      <c r="A146" s="48"/>
      <c r="B146" s="72"/>
      <c r="C146" s="137"/>
      <c r="D146" s="164"/>
      <c r="E146" s="164"/>
      <c r="F146" s="165"/>
      <c r="G146" s="147"/>
    </row>
    <row r="147" spans="1:7" ht="153">
      <c r="A147" s="48">
        <f>+A133+1</f>
        <v>11</v>
      </c>
      <c r="B147" s="74" t="s">
        <v>196</v>
      </c>
      <c r="C147" s="447"/>
      <c r="D147" s="448"/>
      <c r="E147" s="448"/>
      <c r="F147" s="449"/>
      <c r="G147" s="147"/>
    </row>
    <row r="148" spans="1:7" ht="12.75" customHeight="1">
      <c r="A148" s="48"/>
      <c r="B148" s="72" t="s">
        <v>32</v>
      </c>
      <c r="C148" s="137" t="s">
        <v>56</v>
      </c>
      <c r="D148" s="164">
        <v>47</v>
      </c>
      <c r="E148" s="164">
        <f>+D148</f>
        <v>47</v>
      </c>
      <c r="F148" s="165"/>
      <c r="G148" s="147">
        <f t="shared" ref="G148" si="19">E148*F148</f>
        <v>0</v>
      </c>
    </row>
    <row r="149" spans="1:7" ht="12.75" customHeight="1">
      <c r="A149" s="48"/>
      <c r="B149" s="72" t="s">
        <v>33</v>
      </c>
      <c r="C149" s="137" t="s">
        <v>56</v>
      </c>
      <c r="D149" s="164">
        <v>0</v>
      </c>
      <c r="E149" s="164">
        <f>+D149</f>
        <v>0</v>
      </c>
      <c r="F149" s="165"/>
      <c r="G149" s="147">
        <f t="shared" ref="G149:G159" si="20">E149*F149</f>
        <v>0</v>
      </c>
    </row>
    <row r="150" spans="1:7" ht="12.75" customHeight="1">
      <c r="A150" s="48"/>
      <c r="B150" s="72" t="s">
        <v>34</v>
      </c>
      <c r="C150" s="137" t="s">
        <v>56</v>
      </c>
      <c r="D150" s="164">
        <v>0</v>
      </c>
      <c r="E150" s="164">
        <f t="shared" ref="E150:E159" si="21">+D150</f>
        <v>0</v>
      </c>
      <c r="F150" s="165"/>
      <c r="G150" s="147">
        <f t="shared" si="20"/>
        <v>0</v>
      </c>
    </row>
    <row r="151" spans="1:7" ht="12.75" customHeight="1">
      <c r="A151" s="48"/>
      <c r="B151" s="72" t="s">
        <v>35</v>
      </c>
      <c r="C151" s="137" t="s">
        <v>56</v>
      </c>
      <c r="D151" s="164">
        <v>0</v>
      </c>
      <c r="E151" s="164">
        <f t="shared" si="21"/>
        <v>0</v>
      </c>
      <c r="F151" s="165"/>
      <c r="G151" s="147">
        <f t="shared" si="20"/>
        <v>0</v>
      </c>
    </row>
    <row r="152" spans="1:7" ht="12.75" customHeight="1">
      <c r="A152" s="48"/>
      <c r="B152" s="72" t="s">
        <v>36</v>
      </c>
      <c r="C152" s="137" t="s">
        <v>56</v>
      </c>
      <c r="D152" s="164">
        <v>0</v>
      </c>
      <c r="E152" s="164">
        <f t="shared" si="21"/>
        <v>0</v>
      </c>
      <c r="F152" s="165"/>
      <c r="G152" s="147">
        <f t="shared" si="20"/>
        <v>0</v>
      </c>
    </row>
    <row r="153" spans="1:7" ht="12.75" customHeight="1">
      <c r="A153" s="48"/>
      <c r="B153" s="72" t="s">
        <v>37</v>
      </c>
      <c r="C153" s="137" t="s">
        <v>56</v>
      </c>
      <c r="D153" s="164">
        <v>0</v>
      </c>
      <c r="E153" s="164">
        <f t="shared" si="21"/>
        <v>0</v>
      </c>
      <c r="F153" s="165"/>
      <c r="G153" s="147">
        <f t="shared" si="20"/>
        <v>0</v>
      </c>
    </row>
    <row r="154" spans="1:7" ht="12.75" customHeight="1">
      <c r="A154" s="48"/>
      <c r="B154" s="72" t="s">
        <v>47</v>
      </c>
      <c r="C154" s="137" t="s">
        <v>56</v>
      </c>
      <c r="D154" s="164">
        <v>0</v>
      </c>
      <c r="E154" s="164">
        <f t="shared" si="21"/>
        <v>0</v>
      </c>
      <c r="F154" s="165"/>
      <c r="G154" s="147">
        <f t="shared" si="20"/>
        <v>0</v>
      </c>
    </row>
    <row r="155" spans="1:7" ht="12.75" customHeight="1">
      <c r="A155" s="48"/>
      <c r="B155" s="72" t="s">
        <v>49</v>
      </c>
      <c r="C155" s="137" t="s">
        <v>56</v>
      </c>
      <c r="D155" s="164">
        <v>0</v>
      </c>
      <c r="E155" s="164">
        <f t="shared" si="21"/>
        <v>0</v>
      </c>
      <c r="F155" s="165"/>
      <c r="G155" s="147">
        <f t="shared" si="20"/>
        <v>0</v>
      </c>
    </row>
    <row r="156" spans="1:7" ht="12.75" customHeight="1">
      <c r="A156" s="48"/>
      <c r="B156" s="72" t="s">
        <v>48</v>
      </c>
      <c r="C156" s="137" t="s">
        <v>56</v>
      </c>
      <c r="D156" s="164">
        <v>0</v>
      </c>
      <c r="E156" s="164">
        <f t="shared" si="21"/>
        <v>0</v>
      </c>
      <c r="F156" s="165"/>
      <c r="G156" s="147">
        <f t="shared" si="20"/>
        <v>0</v>
      </c>
    </row>
    <row r="157" spans="1:7" ht="12.75" customHeight="1">
      <c r="A157" s="48"/>
      <c r="B157" s="72" t="s">
        <v>50</v>
      </c>
      <c r="C157" s="137" t="s">
        <v>56</v>
      </c>
      <c r="D157" s="164">
        <v>0</v>
      </c>
      <c r="E157" s="164">
        <f t="shared" si="21"/>
        <v>0</v>
      </c>
      <c r="F157" s="165"/>
      <c r="G157" s="147">
        <f t="shared" si="20"/>
        <v>0</v>
      </c>
    </row>
    <row r="158" spans="1:7" ht="12.75" customHeight="1">
      <c r="A158" s="48"/>
      <c r="B158" s="72" t="s">
        <v>51</v>
      </c>
      <c r="C158" s="137" t="s">
        <v>56</v>
      </c>
      <c r="D158" s="164">
        <v>0</v>
      </c>
      <c r="E158" s="164">
        <f t="shared" si="21"/>
        <v>0</v>
      </c>
      <c r="F158" s="165"/>
      <c r="G158" s="147">
        <f t="shared" si="20"/>
        <v>0</v>
      </c>
    </row>
    <row r="159" spans="1:7" ht="12.75" customHeight="1">
      <c r="A159" s="48"/>
      <c r="B159" s="72" t="s">
        <v>52</v>
      </c>
      <c r="C159" s="137" t="s">
        <v>56</v>
      </c>
      <c r="D159" s="164">
        <v>0</v>
      </c>
      <c r="E159" s="164">
        <f t="shared" si="21"/>
        <v>0</v>
      </c>
      <c r="F159" s="165"/>
      <c r="G159" s="147">
        <f t="shared" si="20"/>
        <v>0</v>
      </c>
    </row>
    <row r="160" spans="1:7" ht="12.75" customHeight="1">
      <c r="A160" s="48"/>
      <c r="B160" s="72"/>
      <c r="C160" s="137"/>
      <c r="D160" s="164"/>
      <c r="E160" s="164"/>
      <c r="F160" s="165"/>
      <c r="G160" s="147"/>
    </row>
    <row r="161" spans="1:7" ht="12.75" customHeight="1">
      <c r="A161" s="48"/>
      <c r="B161" s="72" t="s">
        <v>366</v>
      </c>
      <c r="C161" s="137"/>
      <c r="D161" s="164"/>
      <c r="E161" s="164"/>
      <c r="F161" s="165"/>
      <c r="G161" s="147"/>
    </row>
    <row r="162" spans="1:7" ht="12.75" customHeight="1">
      <c r="A162" s="48"/>
      <c r="B162" s="56"/>
      <c r="C162" s="137"/>
      <c r="D162" s="164"/>
      <c r="E162" s="217" t="s">
        <v>32</v>
      </c>
      <c r="F162" s="194"/>
      <c r="G162" s="147">
        <f t="shared" ref="G162:G173" si="22">+G148+G134+G120+G106+G92+G78+G64+G50+G36+G22+G8</f>
        <v>0</v>
      </c>
    </row>
    <row r="163" spans="1:7" ht="12.75" customHeight="1">
      <c r="A163" s="48"/>
      <c r="B163" s="56"/>
      <c r="C163" s="137"/>
      <c r="D163" s="164"/>
      <c r="E163" s="217" t="s">
        <v>33</v>
      </c>
      <c r="F163" s="194"/>
      <c r="G163" s="147">
        <f t="shared" si="22"/>
        <v>0</v>
      </c>
    </row>
    <row r="164" spans="1:7" ht="12.75" customHeight="1">
      <c r="A164" s="48"/>
      <c r="B164" s="56"/>
      <c r="C164" s="137"/>
      <c r="D164" s="164"/>
      <c r="E164" s="217" t="s">
        <v>34</v>
      </c>
      <c r="F164" s="194"/>
      <c r="G164" s="147">
        <f t="shared" si="22"/>
        <v>0</v>
      </c>
    </row>
    <row r="165" spans="1:7" ht="12.75" customHeight="1">
      <c r="A165" s="48"/>
      <c r="B165" s="56"/>
      <c r="C165" s="137"/>
      <c r="D165" s="164"/>
      <c r="E165" s="217" t="s">
        <v>35</v>
      </c>
      <c r="F165" s="194"/>
      <c r="G165" s="147">
        <f t="shared" si="22"/>
        <v>0</v>
      </c>
    </row>
    <row r="166" spans="1:7" ht="12.75" customHeight="1">
      <c r="A166" s="48"/>
      <c r="B166" s="56"/>
      <c r="C166" s="137"/>
      <c r="D166" s="164"/>
      <c r="E166" s="217" t="s">
        <v>36</v>
      </c>
      <c r="F166" s="194"/>
      <c r="G166" s="147">
        <f t="shared" si="22"/>
        <v>0</v>
      </c>
    </row>
    <row r="167" spans="1:7" ht="12.75" customHeight="1">
      <c r="A167" s="48"/>
      <c r="B167" s="56"/>
      <c r="C167" s="137"/>
      <c r="D167" s="164"/>
      <c r="E167" s="217" t="s">
        <v>37</v>
      </c>
      <c r="F167" s="194"/>
      <c r="G167" s="147">
        <f t="shared" si="22"/>
        <v>0</v>
      </c>
    </row>
    <row r="168" spans="1:7" ht="12.75" customHeight="1">
      <c r="A168" s="48"/>
      <c r="B168" s="56"/>
      <c r="C168" s="137"/>
      <c r="D168" s="164"/>
      <c r="E168" s="217" t="s">
        <v>47</v>
      </c>
      <c r="F168" s="194"/>
      <c r="G168" s="147">
        <f t="shared" si="22"/>
        <v>0</v>
      </c>
    </row>
    <row r="169" spans="1:7" ht="12.75" customHeight="1">
      <c r="A169" s="48"/>
      <c r="B169" s="56"/>
      <c r="C169" s="137"/>
      <c r="D169" s="164"/>
      <c r="E169" s="217" t="s">
        <v>49</v>
      </c>
      <c r="F169" s="194"/>
      <c r="G169" s="147">
        <f t="shared" si="22"/>
        <v>0</v>
      </c>
    </row>
    <row r="170" spans="1:7" ht="12.75" customHeight="1">
      <c r="A170" s="48"/>
      <c r="B170" s="56"/>
      <c r="C170" s="137"/>
      <c r="D170" s="164"/>
      <c r="E170" s="217" t="s">
        <v>48</v>
      </c>
      <c r="F170" s="194"/>
      <c r="G170" s="147">
        <f t="shared" si="22"/>
        <v>0</v>
      </c>
    </row>
    <row r="171" spans="1:7" ht="12.75" customHeight="1">
      <c r="A171" s="48"/>
      <c r="B171" s="56"/>
      <c r="C171" s="137"/>
      <c r="D171" s="164"/>
      <c r="E171" s="217" t="s">
        <v>50</v>
      </c>
      <c r="F171" s="194"/>
      <c r="G171" s="147">
        <f t="shared" si="22"/>
        <v>0</v>
      </c>
    </row>
    <row r="172" spans="1:7" ht="12.75" customHeight="1">
      <c r="A172" s="48"/>
      <c r="B172" s="56"/>
      <c r="C172" s="137"/>
      <c r="D172" s="164"/>
      <c r="E172" s="217" t="s">
        <v>51</v>
      </c>
      <c r="F172" s="194"/>
      <c r="G172" s="147">
        <f t="shared" si="22"/>
        <v>0</v>
      </c>
    </row>
    <row r="173" spans="1:7" ht="12.75" customHeight="1">
      <c r="A173" s="48"/>
      <c r="B173" s="56"/>
      <c r="C173" s="137"/>
      <c r="D173" s="164"/>
      <c r="E173" s="217" t="s">
        <v>52</v>
      </c>
      <c r="F173" s="194"/>
      <c r="G173" s="147">
        <f t="shared" si="22"/>
        <v>0</v>
      </c>
    </row>
    <row r="174" spans="1:7" ht="12.75" customHeight="1">
      <c r="A174" s="48"/>
      <c r="B174" s="72"/>
      <c r="C174" s="78"/>
      <c r="D174" s="225"/>
      <c r="E174" s="226"/>
      <c r="F174" s="226"/>
      <c r="G174" s="144"/>
    </row>
    <row r="175" spans="1:7" ht="16.5" thickBot="1">
      <c r="A175" s="318" t="s">
        <v>30</v>
      </c>
      <c r="B175" s="322" t="s">
        <v>31</v>
      </c>
      <c r="C175" s="319"/>
      <c r="D175" s="320"/>
      <c r="E175" s="321"/>
      <c r="F175" s="127" t="s">
        <v>62</v>
      </c>
      <c r="G175" s="127">
        <f>SUM(G162:G173)</f>
        <v>0</v>
      </c>
    </row>
    <row r="176" spans="1:7" ht="12.75" customHeight="1" thickTop="1">
      <c r="A176" s="48"/>
      <c r="B176" s="20"/>
      <c r="C176" s="138"/>
      <c r="D176" s="155"/>
      <c r="E176" s="171"/>
      <c r="F176" s="171"/>
      <c r="G176" s="144"/>
    </row>
    <row r="177" spans="1:7" ht="12.75" customHeight="1">
      <c r="A177" s="48"/>
      <c r="B177" s="20"/>
      <c r="C177" s="138"/>
      <c r="D177" s="155"/>
      <c r="E177" s="171"/>
      <c r="F177" s="171"/>
      <c r="G177" s="144"/>
    </row>
    <row r="178" spans="1:7" ht="12.75" customHeight="1">
      <c r="A178" s="48"/>
      <c r="B178" s="59"/>
      <c r="C178" s="131"/>
      <c r="D178" s="155"/>
      <c r="E178" s="171"/>
      <c r="F178" s="171"/>
      <c r="G178" s="144"/>
    </row>
    <row r="179" spans="1:7">
      <c r="B179" s="69"/>
      <c r="C179" s="134"/>
      <c r="D179" s="130"/>
      <c r="E179" s="130"/>
      <c r="F179" s="160"/>
      <c r="G179" s="154"/>
    </row>
    <row r="181" spans="1:7">
      <c r="B181" s="64"/>
      <c r="C181" s="139"/>
      <c r="D181" s="166"/>
      <c r="E181" s="166"/>
      <c r="F181" s="167"/>
      <c r="G181" s="147"/>
    </row>
  </sheetData>
  <conditionalFormatting sqref="F8:F160">
    <cfRule type="cellIs" dxfId="14" priority="1" operator="equal">
      <formula>0</formula>
    </cfRule>
  </conditionalFormatting>
  <pageMargins left="0.78740157480314965" right="0.19685039370078741" top="0.39370078740157483" bottom="0.39370078740157483" header="0" footer="0.19685039370078741"/>
  <pageSetup paperSize="9" orientation="portrait" r:id="rId1"/>
  <headerFooter>
    <oddFooter>Stran &amp;P</oddFooter>
  </headerFooter>
  <ignoredErrors>
    <ignoredError sqref="E130"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I239"/>
  <sheetViews>
    <sheetView showZeros="0" workbookViewId="0">
      <selection activeCell="F7" sqref="F7"/>
    </sheetView>
  </sheetViews>
  <sheetFormatPr defaultRowHeight="12.75" customHeight="1"/>
  <cols>
    <col min="1" max="1" width="4.7109375" style="79" customWidth="1"/>
    <col min="2" max="2" width="30.7109375" style="79" customWidth="1"/>
    <col min="3" max="3" width="4.7109375" style="177" customWidth="1"/>
    <col min="4" max="4" width="14.7109375" style="168" customWidth="1"/>
    <col min="5" max="5" width="12.7109375" style="168" customWidth="1"/>
    <col min="6" max="6" width="11.7109375" style="168" customWidth="1"/>
    <col min="7" max="7" width="12.7109375" style="169" customWidth="1"/>
    <col min="253" max="253" width="4.7109375" customWidth="1"/>
    <col min="254" max="254" width="30.7109375" customWidth="1"/>
    <col min="255" max="255" width="4.7109375" customWidth="1"/>
    <col min="256" max="256" width="13.7109375" customWidth="1"/>
    <col min="257" max="259" width="12.7109375" customWidth="1"/>
    <col min="261" max="261" width="21" customWidth="1"/>
    <col min="262" max="262" width="36.5703125" customWidth="1"/>
    <col min="509" max="509" width="4.7109375" customWidth="1"/>
    <col min="510" max="510" width="30.7109375" customWidth="1"/>
    <col min="511" max="511" width="4.7109375" customWidth="1"/>
    <col min="512" max="512" width="13.7109375" customWidth="1"/>
    <col min="513" max="515" width="12.7109375" customWidth="1"/>
    <col min="517" max="517" width="21" customWidth="1"/>
    <col min="518" max="518" width="36.5703125" customWidth="1"/>
    <col min="765" max="765" width="4.7109375" customWidth="1"/>
    <col min="766" max="766" width="30.7109375" customWidth="1"/>
    <col min="767" max="767" width="4.7109375" customWidth="1"/>
    <col min="768" max="768" width="13.7109375" customWidth="1"/>
    <col min="769" max="771" width="12.7109375" customWidth="1"/>
    <col min="773" max="773" width="21" customWidth="1"/>
    <col min="774" max="774" width="36.5703125" customWidth="1"/>
    <col min="1021" max="1021" width="4.7109375" customWidth="1"/>
    <col min="1022" max="1022" width="30.7109375" customWidth="1"/>
    <col min="1023" max="1023" width="4.7109375" customWidth="1"/>
    <col min="1024" max="1024" width="13.7109375" customWidth="1"/>
    <col min="1025" max="1027" width="12.7109375" customWidth="1"/>
    <col min="1029" max="1029" width="21" customWidth="1"/>
    <col min="1030" max="1030" width="36.5703125" customWidth="1"/>
    <col min="1277" max="1277" width="4.7109375" customWidth="1"/>
    <col min="1278" max="1278" width="30.7109375" customWidth="1"/>
    <col min="1279" max="1279" width="4.7109375" customWidth="1"/>
    <col min="1280" max="1280" width="13.7109375" customWidth="1"/>
    <col min="1281" max="1283" width="12.7109375" customWidth="1"/>
    <col min="1285" max="1285" width="21" customWidth="1"/>
    <col min="1286" max="1286" width="36.5703125" customWidth="1"/>
    <col min="1533" max="1533" width="4.7109375" customWidth="1"/>
    <col min="1534" max="1534" width="30.7109375" customWidth="1"/>
    <col min="1535" max="1535" width="4.7109375" customWidth="1"/>
    <col min="1536" max="1536" width="13.7109375" customWidth="1"/>
    <col min="1537" max="1539" width="12.7109375" customWidth="1"/>
    <col min="1541" max="1541" width="21" customWidth="1"/>
    <col min="1542" max="1542" width="36.5703125" customWidth="1"/>
    <col min="1789" max="1789" width="4.7109375" customWidth="1"/>
    <col min="1790" max="1790" width="30.7109375" customWidth="1"/>
    <col min="1791" max="1791" width="4.7109375" customWidth="1"/>
    <col min="1792" max="1792" width="13.7109375" customWidth="1"/>
    <col min="1793" max="1795" width="12.7109375" customWidth="1"/>
    <col min="1797" max="1797" width="21" customWidth="1"/>
    <col min="1798" max="1798" width="36.5703125" customWidth="1"/>
    <col min="2045" max="2045" width="4.7109375" customWidth="1"/>
    <col min="2046" max="2046" width="30.7109375" customWidth="1"/>
    <col min="2047" max="2047" width="4.7109375" customWidth="1"/>
    <col min="2048" max="2048" width="13.7109375" customWidth="1"/>
    <col min="2049" max="2051" width="12.7109375" customWidth="1"/>
    <col min="2053" max="2053" width="21" customWidth="1"/>
    <col min="2054" max="2054" width="36.5703125" customWidth="1"/>
    <col min="2301" max="2301" width="4.7109375" customWidth="1"/>
    <col min="2302" max="2302" width="30.7109375" customWidth="1"/>
    <col min="2303" max="2303" width="4.7109375" customWidth="1"/>
    <col min="2304" max="2304" width="13.7109375" customWidth="1"/>
    <col min="2305" max="2307" width="12.7109375" customWidth="1"/>
    <col min="2309" max="2309" width="21" customWidth="1"/>
    <col min="2310" max="2310" width="36.5703125" customWidth="1"/>
    <col min="2557" max="2557" width="4.7109375" customWidth="1"/>
    <col min="2558" max="2558" width="30.7109375" customWidth="1"/>
    <col min="2559" max="2559" width="4.7109375" customWidth="1"/>
    <col min="2560" max="2560" width="13.7109375" customWidth="1"/>
    <col min="2561" max="2563" width="12.7109375" customWidth="1"/>
    <col min="2565" max="2565" width="21" customWidth="1"/>
    <col min="2566" max="2566" width="36.5703125" customWidth="1"/>
    <col min="2813" max="2813" width="4.7109375" customWidth="1"/>
    <col min="2814" max="2814" width="30.7109375" customWidth="1"/>
    <col min="2815" max="2815" width="4.7109375" customWidth="1"/>
    <col min="2816" max="2816" width="13.7109375" customWidth="1"/>
    <col min="2817" max="2819" width="12.7109375" customWidth="1"/>
    <col min="2821" max="2821" width="21" customWidth="1"/>
    <col min="2822" max="2822" width="36.5703125" customWidth="1"/>
    <col min="3069" max="3069" width="4.7109375" customWidth="1"/>
    <col min="3070" max="3070" width="30.7109375" customWidth="1"/>
    <col min="3071" max="3071" width="4.7109375" customWidth="1"/>
    <col min="3072" max="3072" width="13.7109375" customWidth="1"/>
    <col min="3073" max="3075" width="12.7109375" customWidth="1"/>
    <col min="3077" max="3077" width="21" customWidth="1"/>
    <col min="3078" max="3078" width="36.5703125" customWidth="1"/>
    <col min="3325" max="3325" width="4.7109375" customWidth="1"/>
    <col min="3326" max="3326" width="30.7109375" customWidth="1"/>
    <col min="3327" max="3327" width="4.7109375" customWidth="1"/>
    <col min="3328" max="3328" width="13.7109375" customWidth="1"/>
    <col min="3329" max="3331" width="12.7109375" customWidth="1"/>
    <col min="3333" max="3333" width="21" customWidth="1"/>
    <col min="3334" max="3334" width="36.5703125" customWidth="1"/>
    <col min="3581" max="3581" width="4.7109375" customWidth="1"/>
    <col min="3582" max="3582" width="30.7109375" customWidth="1"/>
    <col min="3583" max="3583" width="4.7109375" customWidth="1"/>
    <col min="3584" max="3584" width="13.7109375" customWidth="1"/>
    <col min="3585" max="3587" width="12.7109375" customWidth="1"/>
    <col min="3589" max="3589" width="21" customWidth="1"/>
    <col min="3590" max="3590" width="36.5703125" customWidth="1"/>
    <col min="3837" max="3837" width="4.7109375" customWidth="1"/>
    <col min="3838" max="3838" width="30.7109375" customWidth="1"/>
    <col min="3839" max="3839" width="4.7109375" customWidth="1"/>
    <col min="3840" max="3840" width="13.7109375" customWidth="1"/>
    <col min="3841" max="3843" width="12.7109375" customWidth="1"/>
    <col min="3845" max="3845" width="21" customWidth="1"/>
    <col min="3846" max="3846" width="36.5703125" customWidth="1"/>
    <col min="4093" max="4093" width="4.7109375" customWidth="1"/>
    <col min="4094" max="4094" width="30.7109375" customWidth="1"/>
    <col min="4095" max="4095" width="4.7109375" customWidth="1"/>
    <col min="4096" max="4096" width="13.7109375" customWidth="1"/>
    <col min="4097" max="4099" width="12.7109375" customWidth="1"/>
    <col min="4101" max="4101" width="21" customWidth="1"/>
    <col min="4102" max="4102" width="36.5703125" customWidth="1"/>
    <col min="4349" max="4349" width="4.7109375" customWidth="1"/>
    <col min="4350" max="4350" width="30.7109375" customWidth="1"/>
    <col min="4351" max="4351" width="4.7109375" customWidth="1"/>
    <col min="4352" max="4352" width="13.7109375" customWidth="1"/>
    <col min="4353" max="4355" width="12.7109375" customWidth="1"/>
    <col min="4357" max="4357" width="21" customWidth="1"/>
    <col min="4358" max="4358" width="36.5703125" customWidth="1"/>
    <col min="4605" max="4605" width="4.7109375" customWidth="1"/>
    <col min="4606" max="4606" width="30.7109375" customWidth="1"/>
    <col min="4607" max="4607" width="4.7109375" customWidth="1"/>
    <col min="4608" max="4608" width="13.7109375" customWidth="1"/>
    <col min="4609" max="4611" width="12.7109375" customWidth="1"/>
    <col min="4613" max="4613" width="21" customWidth="1"/>
    <col min="4614" max="4614" width="36.5703125" customWidth="1"/>
    <col min="4861" max="4861" width="4.7109375" customWidth="1"/>
    <col min="4862" max="4862" width="30.7109375" customWidth="1"/>
    <col min="4863" max="4863" width="4.7109375" customWidth="1"/>
    <col min="4864" max="4864" width="13.7109375" customWidth="1"/>
    <col min="4865" max="4867" width="12.7109375" customWidth="1"/>
    <col min="4869" max="4869" width="21" customWidth="1"/>
    <col min="4870" max="4870" width="36.5703125" customWidth="1"/>
    <col min="5117" max="5117" width="4.7109375" customWidth="1"/>
    <col min="5118" max="5118" width="30.7109375" customWidth="1"/>
    <col min="5119" max="5119" width="4.7109375" customWidth="1"/>
    <col min="5120" max="5120" width="13.7109375" customWidth="1"/>
    <col min="5121" max="5123" width="12.7109375" customWidth="1"/>
    <col min="5125" max="5125" width="21" customWidth="1"/>
    <col min="5126" max="5126" width="36.5703125" customWidth="1"/>
    <col min="5373" max="5373" width="4.7109375" customWidth="1"/>
    <col min="5374" max="5374" width="30.7109375" customWidth="1"/>
    <col min="5375" max="5375" width="4.7109375" customWidth="1"/>
    <col min="5376" max="5376" width="13.7109375" customWidth="1"/>
    <col min="5377" max="5379" width="12.7109375" customWidth="1"/>
    <col min="5381" max="5381" width="21" customWidth="1"/>
    <col min="5382" max="5382" width="36.5703125" customWidth="1"/>
    <col min="5629" max="5629" width="4.7109375" customWidth="1"/>
    <col min="5630" max="5630" width="30.7109375" customWidth="1"/>
    <col min="5631" max="5631" width="4.7109375" customWidth="1"/>
    <col min="5632" max="5632" width="13.7109375" customWidth="1"/>
    <col min="5633" max="5635" width="12.7109375" customWidth="1"/>
    <col min="5637" max="5637" width="21" customWidth="1"/>
    <col min="5638" max="5638" width="36.5703125" customWidth="1"/>
    <col min="5885" max="5885" width="4.7109375" customWidth="1"/>
    <col min="5886" max="5886" width="30.7109375" customWidth="1"/>
    <col min="5887" max="5887" width="4.7109375" customWidth="1"/>
    <col min="5888" max="5888" width="13.7109375" customWidth="1"/>
    <col min="5889" max="5891" width="12.7109375" customWidth="1"/>
    <col min="5893" max="5893" width="21" customWidth="1"/>
    <col min="5894" max="5894" width="36.5703125" customWidth="1"/>
    <col min="6141" max="6141" width="4.7109375" customWidth="1"/>
    <col min="6142" max="6142" width="30.7109375" customWidth="1"/>
    <col min="6143" max="6143" width="4.7109375" customWidth="1"/>
    <col min="6144" max="6144" width="13.7109375" customWidth="1"/>
    <col min="6145" max="6147" width="12.7109375" customWidth="1"/>
    <col min="6149" max="6149" width="21" customWidth="1"/>
    <col min="6150" max="6150" width="36.5703125" customWidth="1"/>
    <col min="6397" max="6397" width="4.7109375" customWidth="1"/>
    <col min="6398" max="6398" width="30.7109375" customWidth="1"/>
    <col min="6399" max="6399" width="4.7109375" customWidth="1"/>
    <col min="6400" max="6400" width="13.7109375" customWidth="1"/>
    <col min="6401" max="6403" width="12.7109375" customWidth="1"/>
    <col min="6405" max="6405" width="21" customWidth="1"/>
    <col min="6406" max="6406" width="36.5703125" customWidth="1"/>
    <col min="6653" max="6653" width="4.7109375" customWidth="1"/>
    <col min="6654" max="6654" width="30.7109375" customWidth="1"/>
    <col min="6655" max="6655" width="4.7109375" customWidth="1"/>
    <col min="6656" max="6656" width="13.7109375" customWidth="1"/>
    <col min="6657" max="6659" width="12.7109375" customWidth="1"/>
    <col min="6661" max="6661" width="21" customWidth="1"/>
    <col min="6662" max="6662" width="36.5703125" customWidth="1"/>
    <col min="6909" max="6909" width="4.7109375" customWidth="1"/>
    <col min="6910" max="6910" width="30.7109375" customWidth="1"/>
    <col min="6911" max="6911" width="4.7109375" customWidth="1"/>
    <col min="6912" max="6912" width="13.7109375" customWidth="1"/>
    <col min="6913" max="6915" width="12.7109375" customWidth="1"/>
    <col min="6917" max="6917" width="21" customWidth="1"/>
    <col min="6918" max="6918" width="36.5703125" customWidth="1"/>
    <col min="7165" max="7165" width="4.7109375" customWidth="1"/>
    <col min="7166" max="7166" width="30.7109375" customWidth="1"/>
    <col min="7167" max="7167" width="4.7109375" customWidth="1"/>
    <col min="7168" max="7168" width="13.7109375" customWidth="1"/>
    <col min="7169" max="7171" width="12.7109375" customWidth="1"/>
    <col min="7173" max="7173" width="21" customWidth="1"/>
    <col min="7174" max="7174" width="36.5703125" customWidth="1"/>
    <col min="7421" max="7421" width="4.7109375" customWidth="1"/>
    <col min="7422" max="7422" width="30.7109375" customWidth="1"/>
    <col min="7423" max="7423" width="4.7109375" customWidth="1"/>
    <col min="7424" max="7424" width="13.7109375" customWidth="1"/>
    <col min="7425" max="7427" width="12.7109375" customWidth="1"/>
    <col min="7429" max="7429" width="21" customWidth="1"/>
    <col min="7430" max="7430" width="36.5703125" customWidth="1"/>
    <col min="7677" max="7677" width="4.7109375" customWidth="1"/>
    <col min="7678" max="7678" width="30.7109375" customWidth="1"/>
    <col min="7679" max="7679" width="4.7109375" customWidth="1"/>
    <col min="7680" max="7680" width="13.7109375" customWidth="1"/>
    <col min="7681" max="7683" width="12.7109375" customWidth="1"/>
    <col min="7685" max="7685" width="21" customWidth="1"/>
    <col min="7686" max="7686" width="36.5703125" customWidth="1"/>
    <col min="7933" max="7933" width="4.7109375" customWidth="1"/>
    <col min="7934" max="7934" width="30.7109375" customWidth="1"/>
    <col min="7935" max="7935" width="4.7109375" customWidth="1"/>
    <col min="7936" max="7936" width="13.7109375" customWidth="1"/>
    <col min="7937" max="7939" width="12.7109375" customWidth="1"/>
    <col min="7941" max="7941" width="21" customWidth="1"/>
    <col min="7942" max="7942" width="36.5703125" customWidth="1"/>
    <col min="8189" max="8189" width="4.7109375" customWidth="1"/>
    <col min="8190" max="8190" width="30.7109375" customWidth="1"/>
    <col min="8191" max="8191" width="4.7109375" customWidth="1"/>
    <col min="8192" max="8192" width="13.7109375" customWidth="1"/>
    <col min="8193" max="8195" width="12.7109375" customWidth="1"/>
    <col min="8197" max="8197" width="21" customWidth="1"/>
    <col min="8198" max="8198" width="36.5703125" customWidth="1"/>
    <col min="8445" max="8445" width="4.7109375" customWidth="1"/>
    <col min="8446" max="8446" width="30.7109375" customWidth="1"/>
    <col min="8447" max="8447" width="4.7109375" customWidth="1"/>
    <col min="8448" max="8448" width="13.7109375" customWidth="1"/>
    <col min="8449" max="8451" width="12.7109375" customWidth="1"/>
    <col min="8453" max="8453" width="21" customWidth="1"/>
    <col min="8454" max="8454" width="36.5703125" customWidth="1"/>
    <col min="8701" max="8701" width="4.7109375" customWidth="1"/>
    <col min="8702" max="8702" width="30.7109375" customWidth="1"/>
    <col min="8703" max="8703" width="4.7109375" customWidth="1"/>
    <col min="8704" max="8704" width="13.7109375" customWidth="1"/>
    <col min="8705" max="8707" width="12.7109375" customWidth="1"/>
    <col min="8709" max="8709" width="21" customWidth="1"/>
    <col min="8710" max="8710" width="36.5703125" customWidth="1"/>
    <col min="8957" max="8957" width="4.7109375" customWidth="1"/>
    <col min="8958" max="8958" width="30.7109375" customWidth="1"/>
    <col min="8959" max="8959" width="4.7109375" customWidth="1"/>
    <col min="8960" max="8960" width="13.7109375" customWidth="1"/>
    <col min="8961" max="8963" width="12.7109375" customWidth="1"/>
    <col min="8965" max="8965" width="21" customWidth="1"/>
    <col min="8966" max="8966" width="36.5703125" customWidth="1"/>
    <col min="9213" max="9213" width="4.7109375" customWidth="1"/>
    <col min="9214" max="9214" width="30.7109375" customWidth="1"/>
    <col min="9215" max="9215" width="4.7109375" customWidth="1"/>
    <col min="9216" max="9216" width="13.7109375" customWidth="1"/>
    <col min="9217" max="9219" width="12.7109375" customWidth="1"/>
    <col min="9221" max="9221" width="21" customWidth="1"/>
    <col min="9222" max="9222" width="36.5703125" customWidth="1"/>
    <col min="9469" max="9469" width="4.7109375" customWidth="1"/>
    <col min="9470" max="9470" width="30.7109375" customWidth="1"/>
    <col min="9471" max="9471" width="4.7109375" customWidth="1"/>
    <col min="9472" max="9472" width="13.7109375" customWidth="1"/>
    <col min="9473" max="9475" width="12.7109375" customWidth="1"/>
    <col min="9477" max="9477" width="21" customWidth="1"/>
    <col min="9478" max="9478" width="36.5703125" customWidth="1"/>
    <col min="9725" max="9725" width="4.7109375" customWidth="1"/>
    <col min="9726" max="9726" width="30.7109375" customWidth="1"/>
    <col min="9727" max="9727" width="4.7109375" customWidth="1"/>
    <col min="9728" max="9728" width="13.7109375" customWidth="1"/>
    <col min="9729" max="9731" width="12.7109375" customWidth="1"/>
    <col min="9733" max="9733" width="21" customWidth="1"/>
    <col min="9734" max="9734" width="36.5703125" customWidth="1"/>
    <col min="9981" max="9981" width="4.7109375" customWidth="1"/>
    <col min="9982" max="9982" width="30.7109375" customWidth="1"/>
    <col min="9983" max="9983" width="4.7109375" customWidth="1"/>
    <col min="9984" max="9984" width="13.7109375" customWidth="1"/>
    <col min="9985" max="9987" width="12.7109375" customWidth="1"/>
    <col min="9989" max="9989" width="21" customWidth="1"/>
    <col min="9990" max="9990" width="36.5703125" customWidth="1"/>
    <col min="10237" max="10237" width="4.7109375" customWidth="1"/>
    <col min="10238" max="10238" width="30.7109375" customWidth="1"/>
    <col min="10239" max="10239" width="4.7109375" customWidth="1"/>
    <col min="10240" max="10240" width="13.7109375" customWidth="1"/>
    <col min="10241" max="10243" width="12.7109375" customWidth="1"/>
    <col min="10245" max="10245" width="21" customWidth="1"/>
    <col min="10246" max="10246" width="36.5703125" customWidth="1"/>
    <col min="10493" max="10493" width="4.7109375" customWidth="1"/>
    <col min="10494" max="10494" width="30.7109375" customWidth="1"/>
    <col min="10495" max="10495" width="4.7109375" customWidth="1"/>
    <col min="10496" max="10496" width="13.7109375" customWidth="1"/>
    <col min="10497" max="10499" width="12.7109375" customWidth="1"/>
    <col min="10501" max="10501" width="21" customWidth="1"/>
    <col min="10502" max="10502" width="36.5703125" customWidth="1"/>
    <col min="10749" max="10749" width="4.7109375" customWidth="1"/>
    <col min="10750" max="10750" width="30.7109375" customWidth="1"/>
    <col min="10751" max="10751" width="4.7109375" customWidth="1"/>
    <col min="10752" max="10752" width="13.7109375" customWidth="1"/>
    <col min="10753" max="10755" width="12.7109375" customWidth="1"/>
    <col min="10757" max="10757" width="21" customWidth="1"/>
    <col min="10758" max="10758" width="36.5703125" customWidth="1"/>
    <col min="11005" max="11005" width="4.7109375" customWidth="1"/>
    <col min="11006" max="11006" width="30.7109375" customWidth="1"/>
    <col min="11007" max="11007" width="4.7109375" customWidth="1"/>
    <col min="11008" max="11008" width="13.7109375" customWidth="1"/>
    <col min="11009" max="11011" width="12.7109375" customWidth="1"/>
    <col min="11013" max="11013" width="21" customWidth="1"/>
    <col min="11014" max="11014" width="36.5703125" customWidth="1"/>
    <col min="11261" max="11261" width="4.7109375" customWidth="1"/>
    <col min="11262" max="11262" width="30.7109375" customWidth="1"/>
    <col min="11263" max="11263" width="4.7109375" customWidth="1"/>
    <col min="11264" max="11264" width="13.7109375" customWidth="1"/>
    <col min="11265" max="11267" width="12.7109375" customWidth="1"/>
    <col min="11269" max="11269" width="21" customWidth="1"/>
    <col min="11270" max="11270" width="36.5703125" customWidth="1"/>
    <col min="11517" max="11517" width="4.7109375" customWidth="1"/>
    <col min="11518" max="11518" width="30.7109375" customWidth="1"/>
    <col min="11519" max="11519" width="4.7109375" customWidth="1"/>
    <col min="11520" max="11520" width="13.7109375" customWidth="1"/>
    <col min="11521" max="11523" width="12.7109375" customWidth="1"/>
    <col min="11525" max="11525" width="21" customWidth="1"/>
    <col min="11526" max="11526" width="36.5703125" customWidth="1"/>
    <col min="11773" max="11773" width="4.7109375" customWidth="1"/>
    <col min="11774" max="11774" width="30.7109375" customWidth="1"/>
    <col min="11775" max="11775" width="4.7109375" customWidth="1"/>
    <col min="11776" max="11776" width="13.7109375" customWidth="1"/>
    <col min="11777" max="11779" width="12.7109375" customWidth="1"/>
    <col min="11781" max="11781" width="21" customWidth="1"/>
    <col min="11782" max="11782" width="36.5703125" customWidth="1"/>
    <col min="12029" max="12029" width="4.7109375" customWidth="1"/>
    <col min="12030" max="12030" width="30.7109375" customWidth="1"/>
    <col min="12031" max="12031" width="4.7109375" customWidth="1"/>
    <col min="12032" max="12032" width="13.7109375" customWidth="1"/>
    <col min="12033" max="12035" width="12.7109375" customWidth="1"/>
    <col min="12037" max="12037" width="21" customWidth="1"/>
    <col min="12038" max="12038" width="36.5703125" customWidth="1"/>
    <col min="12285" max="12285" width="4.7109375" customWidth="1"/>
    <col min="12286" max="12286" width="30.7109375" customWidth="1"/>
    <col min="12287" max="12287" width="4.7109375" customWidth="1"/>
    <col min="12288" max="12288" width="13.7109375" customWidth="1"/>
    <col min="12289" max="12291" width="12.7109375" customWidth="1"/>
    <col min="12293" max="12293" width="21" customWidth="1"/>
    <col min="12294" max="12294" width="36.5703125" customWidth="1"/>
    <col min="12541" max="12541" width="4.7109375" customWidth="1"/>
    <col min="12542" max="12542" width="30.7109375" customWidth="1"/>
    <col min="12543" max="12543" width="4.7109375" customWidth="1"/>
    <col min="12544" max="12544" width="13.7109375" customWidth="1"/>
    <col min="12545" max="12547" width="12.7109375" customWidth="1"/>
    <col min="12549" max="12549" width="21" customWidth="1"/>
    <col min="12550" max="12550" width="36.5703125" customWidth="1"/>
    <col min="12797" max="12797" width="4.7109375" customWidth="1"/>
    <col min="12798" max="12798" width="30.7109375" customWidth="1"/>
    <col min="12799" max="12799" width="4.7109375" customWidth="1"/>
    <col min="12800" max="12800" width="13.7109375" customWidth="1"/>
    <col min="12801" max="12803" width="12.7109375" customWidth="1"/>
    <col min="12805" max="12805" width="21" customWidth="1"/>
    <col min="12806" max="12806" width="36.5703125" customWidth="1"/>
    <col min="13053" max="13053" width="4.7109375" customWidth="1"/>
    <col min="13054" max="13054" width="30.7109375" customWidth="1"/>
    <col min="13055" max="13055" width="4.7109375" customWidth="1"/>
    <col min="13056" max="13056" width="13.7109375" customWidth="1"/>
    <col min="13057" max="13059" width="12.7109375" customWidth="1"/>
    <col min="13061" max="13061" width="21" customWidth="1"/>
    <col min="13062" max="13062" width="36.5703125" customWidth="1"/>
    <col min="13309" max="13309" width="4.7109375" customWidth="1"/>
    <col min="13310" max="13310" width="30.7109375" customWidth="1"/>
    <col min="13311" max="13311" width="4.7109375" customWidth="1"/>
    <col min="13312" max="13312" width="13.7109375" customWidth="1"/>
    <col min="13313" max="13315" width="12.7109375" customWidth="1"/>
    <col min="13317" max="13317" width="21" customWidth="1"/>
    <col min="13318" max="13318" width="36.5703125" customWidth="1"/>
    <col min="13565" max="13565" width="4.7109375" customWidth="1"/>
    <col min="13566" max="13566" width="30.7109375" customWidth="1"/>
    <col min="13567" max="13567" width="4.7109375" customWidth="1"/>
    <col min="13568" max="13568" width="13.7109375" customWidth="1"/>
    <col min="13569" max="13571" width="12.7109375" customWidth="1"/>
    <col min="13573" max="13573" width="21" customWidth="1"/>
    <col min="13574" max="13574" width="36.5703125" customWidth="1"/>
    <col min="13821" max="13821" width="4.7109375" customWidth="1"/>
    <col min="13822" max="13822" width="30.7109375" customWidth="1"/>
    <col min="13823" max="13823" width="4.7109375" customWidth="1"/>
    <col min="13824" max="13824" width="13.7109375" customWidth="1"/>
    <col min="13825" max="13827" width="12.7109375" customWidth="1"/>
    <col min="13829" max="13829" width="21" customWidth="1"/>
    <col min="13830" max="13830" width="36.5703125" customWidth="1"/>
    <col min="14077" max="14077" width="4.7109375" customWidth="1"/>
    <col min="14078" max="14078" width="30.7109375" customWidth="1"/>
    <col min="14079" max="14079" width="4.7109375" customWidth="1"/>
    <col min="14080" max="14080" width="13.7109375" customWidth="1"/>
    <col min="14081" max="14083" width="12.7109375" customWidth="1"/>
    <col min="14085" max="14085" width="21" customWidth="1"/>
    <col min="14086" max="14086" width="36.5703125" customWidth="1"/>
    <col min="14333" max="14333" width="4.7109375" customWidth="1"/>
    <col min="14334" max="14334" width="30.7109375" customWidth="1"/>
    <col min="14335" max="14335" width="4.7109375" customWidth="1"/>
    <col min="14336" max="14336" width="13.7109375" customWidth="1"/>
    <col min="14337" max="14339" width="12.7109375" customWidth="1"/>
    <col min="14341" max="14341" width="21" customWidth="1"/>
    <col min="14342" max="14342" width="36.5703125" customWidth="1"/>
    <col min="14589" max="14589" width="4.7109375" customWidth="1"/>
    <col min="14590" max="14590" width="30.7109375" customWidth="1"/>
    <col min="14591" max="14591" width="4.7109375" customWidth="1"/>
    <col min="14592" max="14592" width="13.7109375" customWidth="1"/>
    <col min="14593" max="14595" width="12.7109375" customWidth="1"/>
    <col min="14597" max="14597" width="21" customWidth="1"/>
    <col min="14598" max="14598" width="36.5703125" customWidth="1"/>
    <col min="14845" max="14845" width="4.7109375" customWidth="1"/>
    <col min="14846" max="14846" width="30.7109375" customWidth="1"/>
    <col min="14847" max="14847" width="4.7109375" customWidth="1"/>
    <col min="14848" max="14848" width="13.7109375" customWidth="1"/>
    <col min="14849" max="14851" width="12.7109375" customWidth="1"/>
    <col min="14853" max="14853" width="21" customWidth="1"/>
    <col min="14854" max="14854" width="36.5703125" customWidth="1"/>
    <col min="15101" max="15101" width="4.7109375" customWidth="1"/>
    <col min="15102" max="15102" width="30.7109375" customWidth="1"/>
    <col min="15103" max="15103" width="4.7109375" customWidth="1"/>
    <col min="15104" max="15104" width="13.7109375" customWidth="1"/>
    <col min="15105" max="15107" width="12.7109375" customWidth="1"/>
    <col min="15109" max="15109" width="21" customWidth="1"/>
    <col min="15110" max="15110" width="36.5703125" customWidth="1"/>
    <col min="15357" max="15357" width="4.7109375" customWidth="1"/>
    <col min="15358" max="15358" width="30.7109375" customWidth="1"/>
    <col min="15359" max="15359" width="4.7109375" customWidth="1"/>
    <col min="15360" max="15360" width="13.7109375" customWidth="1"/>
    <col min="15361" max="15363" width="12.7109375" customWidth="1"/>
    <col min="15365" max="15365" width="21" customWidth="1"/>
    <col min="15366" max="15366" width="36.5703125" customWidth="1"/>
    <col min="15613" max="15613" width="4.7109375" customWidth="1"/>
    <col min="15614" max="15614" width="30.7109375" customWidth="1"/>
    <col min="15615" max="15615" width="4.7109375" customWidth="1"/>
    <col min="15616" max="15616" width="13.7109375" customWidth="1"/>
    <col min="15617" max="15619" width="12.7109375" customWidth="1"/>
    <col min="15621" max="15621" width="21" customWidth="1"/>
    <col min="15622" max="15622" width="36.5703125" customWidth="1"/>
    <col min="15869" max="15869" width="4.7109375" customWidth="1"/>
    <col min="15870" max="15870" width="30.7109375" customWidth="1"/>
    <col min="15871" max="15871" width="4.7109375" customWidth="1"/>
    <col min="15872" max="15872" width="13.7109375" customWidth="1"/>
    <col min="15873" max="15875" width="12.7109375" customWidth="1"/>
    <col min="15877" max="15877" width="21" customWidth="1"/>
    <col min="15878" max="15878" width="36.5703125" customWidth="1"/>
    <col min="16125" max="16125" width="4.7109375" customWidth="1"/>
    <col min="16126" max="16126" width="30.7109375" customWidth="1"/>
    <col min="16127" max="16127" width="4.7109375" customWidth="1"/>
    <col min="16128" max="16128" width="13.7109375" customWidth="1"/>
    <col min="16129" max="16131" width="12.7109375" customWidth="1"/>
    <col min="16133" max="16133" width="21" customWidth="1"/>
    <col min="16134" max="16134" width="36.5703125" customWidth="1"/>
  </cols>
  <sheetData>
    <row r="1" spans="1:7" ht="12.75" customHeight="1">
      <c r="B1" s="104" t="s">
        <v>27</v>
      </c>
    </row>
    <row r="2" spans="1:7" ht="12.75" customHeight="1">
      <c r="B2" s="104" t="s">
        <v>28</v>
      </c>
    </row>
    <row r="3" spans="1:7" ht="12.75" customHeight="1">
      <c r="B3" s="105" t="s">
        <v>29</v>
      </c>
    </row>
    <row r="5" spans="1:7" ht="15.75">
      <c r="A5" s="22" t="s">
        <v>63</v>
      </c>
      <c r="B5" s="129" t="s">
        <v>77</v>
      </c>
      <c r="C5" s="131"/>
      <c r="D5" s="170"/>
      <c r="E5" s="171"/>
      <c r="F5" s="171"/>
      <c r="G5" s="144"/>
    </row>
    <row r="6" spans="1:7" ht="12.75" customHeight="1">
      <c r="A6" s="48"/>
      <c r="B6" s="49"/>
      <c r="C6" s="131"/>
      <c r="D6" s="170"/>
      <c r="E6" s="171"/>
      <c r="F6" s="171"/>
      <c r="G6" s="144"/>
    </row>
    <row r="7" spans="1:7" ht="165.75">
      <c r="A7" s="48">
        <v>1</v>
      </c>
      <c r="B7" s="61" t="s">
        <v>410</v>
      </c>
      <c r="C7" s="131"/>
      <c r="D7" s="172"/>
      <c r="E7" s="172"/>
      <c r="F7" s="171"/>
      <c r="G7" s="144"/>
    </row>
    <row r="8" spans="1:7" ht="51">
      <c r="A8" s="48"/>
      <c r="B8" s="72" t="s">
        <v>32</v>
      </c>
      <c r="C8" s="62" t="s">
        <v>16</v>
      </c>
      <c r="D8" s="130" t="s">
        <v>108</v>
      </c>
      <c r="E8" s="63">
        <f>+((757.33-(55+39+18+38))*2.3*0.2)</f>
        <v>279.37180000000001</v>
      </c>
      <c r="F8" s="232"/>
      <c r="G8" s="466">
        <f>E8*F8</f>
        <v>0</v>
      </c>
    </row>
    <row r="9" spans="1:7" ht="12.75" customHeight="1">
      <c r="A9" s="48"/>
      <c r="B9" s="233" t="s">
        <v>33</v>
      </c>
      <c r="C9" s="132" t="s">
        <v>16</v>
      </c>
      <c r="D9" s="157" t="s">
        <v>107</v>
      </c>
      <c r="E9" s="157">
        <f>109*0.2</f>
        <v>21.8</v>
      </c>
      <c r="F9" s="146"/>
      <c r="G9" s="147">
        <f t="shared" ref="G9:G19" si="0">E9*F9</f>
        <v>0</v>
      </c>
    </row>
    <row r="10" spans="1:7" ht="12.75" customHeight="1">
      <c r="A10" s="48"/>
      <c r="B10" s="233" t="s">
        <v>34</v>
      </c>
      <c r="C10" s="132" t="s">
        <v>16</v>
      </c>
      <c r="D10" s="157">
        <v>0</v>
      </c>
      <c r="E10" s="157">
        <v>0</v>
      </c>
      <c r="F10" s="146"/>
      <c r="G10" s="147">
        <f t="shared" si="0"/>
        <v>0</v>
      </c>
    </row>
    <row r="11" spans="1:7" ht="12.75" customHeight="1">
      <c r="A11" s="48"/>
      <c r="B11" s="233" t="s">
        <v>35</v>
      </c>
      <c r="C11" s="132" t="s">
        <v>16</v>
      </c>
      <c r="D11" s="157">
        <v>0</v>
      </c>
      <c r="E11" s="157">
        <v>0</v>
      </c>
      <c r="F11" s="146"/>
      <c r="G11" s="147">
        <f t="shared" si="0"/>
        <v>0</v>
      </c>
    </row>
    <row r="12" spans="1:7" ht="12.75" customHeight="1">
      <c r="A12" s="48"/>
      <c r="B12" s="233" t="s">
        <v>36</v>
      </c>
      <c r="C12" s="132" t="s">
        <v>16</v>
      </c>
      <c r="D12" s="157" t="s">
        <v>109</v>
      </c>
      <c r="E12" s="157">
        <f>72.77*2.3*0.2</f>
        <v>33.474199999999996</v>
      </c>
      <c r="F12" s="146"/>
      <c r="G12" s="147">
        <f t="shared" si="0"/>
        <v>0</v>
      </c>
    </row>
    <row r="13" spans="1:7" ht="12.75" customHeight="1">
      <c r="A13" s="48"/>
      <c r="B13" s="233" t="s">
        <v>37</v>
      </c>
      <c r="C13" s="132" t="s">
        <v>16</v>
      </c>
      <c r="D13" s="157" t="s">
        <v>115</v>
      </c>
      <c r="E13" s="157">
        <f>54.76*2.3*0.2</f>
        <v>25.189599999999999</v>
      </c>
      <c r="F13" s="146"/>
      <c r="G13" s="147">
        <f t="shared" si="0"/>
        <v>0</v>
      </c>
    </row>
    <row r="14" spans="1:7" ht="12.75" customHeight="1">
      <c r="A14" s="48"/>
      <c r="B14" s="233" t="s">
        <v>47</v>
      </c>
      <c r="C14" s="132" t="s">
        <v>16</v>
      </c>
      <c r="D14" s="157">
        <v>0</v>
      </c>
      <c r="E14" s="157">
        <v>0</v>
      </c>
      <c r="F14" s="146"/>
      <c r="G14" s="147">
        <f t="shared" si="0"/>
        <v>0</v>
      </c>
    </row>
    <row r="15" spans="1:7" ht="12.75" customHeight="1">
      <c r="A15" s="48"/>
      <c r="B15" s="233" t="s">
        <v>49</v>
      </c>
      <c r="C15" s="132" t="s">
        <v>16</v>
      </c>
      <c r="D15" s="157">
        <v>0</v>
      </c>
      <c r="E15" s="157">
        <v>0</v>
      </c>
      <c r="F15" s="146"/>
      <c r="G15" s="147">
        <f t="shared" si="0"/>
        <v>0</v>
      </c>
    </row>
    <row r="16" spans="1:7" ht="12.75" customHeight="1">
      <c r="A16" s="48"/>
      <c r="B16" s="233" t="s">
        <v>48</v>
      </c>
      <c r="C16" s="132" t="s">
        <v>16</v>
      </c>
      <c r="D16" s="157">
        <v>0</v>
      </c>
      <c r="E16" s="157">
        <v>0</v>
      </c>
      <c r="F16" s="146"/>
      <c r="G16" s="147">
        <f t="shared" si="0"/>
        <v>0</v>
      </c>
    </row>
    <row r="17" spans="1:7" ht="38.25">
      <c r="A17" s="48"/>
      <c r="B17" s="72" t="s">
        <v>50</v>
      </c>
      <c r="C17" s="132" t="s">
        <v>16</v>
      </c>
      <c r="D17" s="157" t="s">
        <v>110</v>
      </c>
      <c r="E17" s="67">
        <f>+((280.4-(11+8+28))*2.3*0.2)</f>
        <v>107.36399999999999</v>
      </c>
      <c r="F17" s="261"/>
      <c r="G17" s="465">
        <f t="shared" si="0"/>
        <v>0</v>
      </c>
    </row>
    <row r="18" spans="1:7" ht="12.75" customHeight="1">
      <c r="A18" s="48"/>
      <c r="B18" s="233" t="s">
        <v>51</v>
      </c>
      <c r="C18" s="132" t="s">
        <v>16</v>
      </c>
      <c r="D18" s="157">
        <v>0</v>
      </c>
      <c r="E18" s="157">
        <v>0</v>
      </c>
      <c r="F18" s="146"/>
      <c r="G18" s="147">
        <f t="shared" si="0"/>
        <v>0</v>
      </c>
    </row>
    <row r="19" spans="1:7" ht="12.75" customHeight="1">
      <c r="A19" s="48"/>
      <c r="B19" s="233" t="s">
        <v>52</v>
      </c>
      <c r="C19" s="132" t="s">
        <v>16</v>
      </c>
      <c r="D19" s="157">
        <v>0</v>
      </c>
      <c r="E19" s="157">
        <v>0</v>
      </c>
      <c r="F19" s="146"/>
      <c r="G19" s="147">
        <f t="shared" si="0"/>
        <v>0</v>
      </c>
    </row>
    <row r="20" spans="1:7" ht="255">
      <c r="A20" s="48">
        <f>+A7+1</f>
        <v>2</v>
      </c>
      <c r="B20" s="64" t="s">
        <v>411</v>
      </c>
      <c r="C20" s="131"/>
      <c r="D20" s="450"/>
      <c r="E20" s="450"/>
      <c r="F20" s="171"/>
      <c r="G20" s="144"/>
    </row>
    <row r="21" spans="1:7" ht="12.75" customHeight="1">
      <c r="A21" s="48"/>
      <c r="B21" s="72" t="s">
        <v>32</v>
      </c>
      <c r="C21" s="131" t="s">
        <v>16</v>
      </c>
      <c r="D21" s="155">
        <f>+(758*3.58+41*2.5)*30%-(E8*30%)</f>
        <v>761.03045999999995</v>
      </c>
      <c r="E21" s="171">
        <f>+D21</f>
        <v>761.03045999999995</v>
      </c>
      <c r="F21" s="171"/>
      <c r="G21" s="147">
        <f>E21*F21</f>
        <v>0</v>
      </c>
    </row>
    <row r="22" spans="1:7" ht="12.75" customHeight="1">
      <c r="A22" s="48"/>
      <c r="B22" s="72" t="s">
        <v>33</v>
      </c>
      <c r="C22" s="131" t="s">
        <v>16</v>
      </c>
      <c r="D22" s="155">
        <f>+(79*2.58+164*2.39+5*2.5)*30%-(E9*30%)</f>
        <v>175.94399999999999</v>
      </c>
      <c r="E22" s="171">
        <f t="shared" ref="E22:E32" si="1">+D22</f>
        <v>175.94399999999999</v>
      </c>
      <c r="F22" s="171"/>
      <c r="G22" s="147">
        <f t="shared" ref="G22:G32" si="2">E22*F22</f>
        <v>0</v>
      </c>
    </row>
    <row r="23" spans="1:7" ht="12.75" customHeight="1">
      <c r="A23" s="48"/>
      <c r="B23" s="72" t="s">
        <v>34</v>
      </c>
      <c r="C23" s="131" t="s">
        <v>16</v>
      </c>
      <c r="D23" s="155">
        <f>(135*2.69+6*2.5)*30%-(E10*30%)</f>
        <v>113.44499999999999</v>
      </c>
      <c r="E23" s="171">
        <f t="shared" si="1"/>
        <v>113.44499999999999</v>
      </c>
      <c r="F23" s="171"/>
      <c r="G23" s="147">
        <f t="shared" si="2"/>
        <v>0</v>
      </c>
    </row>
    <row r="24" spans="1:7" ht="12.75" customHeight="1">
      <c r="A24" s="48"/>
      <c r="B24" s="72" t="s">
        <v>35</v>
      </c>
      <c r="C24" s="131" t="s">
        <v>16</v>
      </c>
      <c r="D24" s="155">
        <f>(38*2.69)*30%-(E11*30%)</f>
        <v>30.665999999999997</v>
      </c>
      <c r="E24" s="171">
        <f t="shared" si="1"/>
        <v>30.665999999999997</v>
      </c>
      <c r="F24" s="171"/>
      <c r="G24" s="147">
        <f t="shared" si="2"/>
        <v>0</v>
      </c>
    </row>
    <row r="25" spans="1:7" ht="12.75" customHeight="1">
      <c r="A25" s="48"/>
      <c r="B25" s="72" t="s">
        <v>36</v>
      </c>
      <c r="C25" s="131" t="s">
        <v>16</v>
      </c>
      <c r="D25" s="155">
        <f>+(73*3.58+6*2.5)*30%-(E12*30%)</f>
        <v>72.859740000000002</v>
      </c>
      <c r="E25" s="171">
        <f t="shared" si="1"/>
        <v>72.859740000000002</v>
      </c>
      <c r="F25" s="171"/>
      <c r="G25" s="147">
        <f t="shared" si="2"/>
        <v>0</v>
      </c>
    </row>
    <row r="26" spans="1:7" ht="12.75" customHeight="1">
      <c r="A26" s="48"/>
      <c r="B26" s="72" t="s">
        <v>37</v>
      </c>
      <c r="C26" s="131" t="s">
        <v>16</v>
      </c>
      <c r="D26" s="155">
        <f>+(55*3.58+4*2.5)*30%-(E13*30%)</f>
        <v>54.513120000000001</v>
      </c>
      <c r="E26" s="171">
        <f t="shared" si="1"/>
        <v>54.513120000000001</v>
      </c>
      <c r="F26" s="171"/>
      <c r="G26" s="147">
        <f t="shared" si="2"/>
        <v>0</v>
      </c>
    </row>
    <row r="27" spans="1:7" ht="12.75" customHeight="1">
      <c r="A27" s="48"/>
      <c r="B27" s="72" t="s">
        <v>47</v>
      </c>
      <c r="C27" s="131" t="s">
        <v>16</v>
      </c>
      <c r="D27" s="155">
        <f>+(236*3.34+13*2.5)*30%-(E14*30%)</f>
        <v>246.22199999999998</v>
      </c>
      <c r="E27" s="171">
        <f t="shared" si="1"/>
        <v>246.22199999999998</v>
      </c>
      <c r="F27" s="171"/>
      <c r="G27" s="147">
        <f t="shared" si="2"/>
        <v>0</v>
      </c>
    </row>
    <row r="28" spans="1:7" ht="12.75" customHeight="1">
      <c r="A28" s="48"/>
      <c r="B28" s="72" t="s">
        <v>49</v>
      </c>
      <c r="C28" s="131" t="s">
        <v>16</v>
      </c>
      <c r="D28" s="155">
        <f>+(99*2.28+7*2.5)*30%-(E15*30%)</f>
        <v>72.965999999999994</v>
      </c>
      <c r="E28" s="171">
        <f t="shared" si="1"/>
        <v>72.965999999999994</v>
      </c>
      <c r="F28" s="171"/>
      <c r="G28" s="147">
        <f t="shared" si="2"/>
        <v>0</v>
      </c>
    </row>
    <row r="29" spans="1:7" ht="12.75" customHeight="1">
      <c r="A29" s="48"/>
      <c r="B29" s="72" t="s">
        <v>48</v>
      </c>
      <c r="C29" s="131" t="s">
        <v>16</v>
      </c>
      <c r="D29" s="155">
        <f>+(86*2.9+5*2.5)*30%-(E16*30%)</f>
        <v>78.569999999999993</v>
      </c>
      <c r="E29" s="171">
        <f t="shared" si="1"/>
        <v>78.569999999999993</v>
      </c>
      <c r="F29" s="171"/>
      <c r="G29" s="147">
        <f t="shared" si="2"/>
        <v>0</v>
      </c>
    </row>
    <row r="30" spans="1:7" ht="12.75" customHeight="1">
      <c r="A30" s="48"/>
      <c r="B30" s="72" t="s">
        <v>50</v>
      </c>
      <c r="C30" s="131" t="s">
        <v>16</v>
      </c>
      <c r="D30" s="155">
        <f>+(201*4.31+81*1.92+14*2.5)*30%-(E17*30%)</f>
        <v>284.83979999999997</v>
      </c>
      <c r="E30" s="171">
        <f t="shared" si="1"/>
        <v>284.83979999999997</v>
      </c>
      <c r="F30" s="171"/>
      <c r="G30" s="147">
        <f t="shared" si="2"/>
        <v>0</v>
      </c>
    </row>
    <row r="31" spans="1:7" ht="12.75" customHeight="1">
      <c r="A31" s="48"/>
      <c r="B31" s="72" t="s">
        <v>51</v>
      </c>
      <c r="C31" s="131" t="s">
        <v>16</v>
      </c>
      <c r="D31" s="155">
        <f>+(73*2.9+3*2.5)*30%-(E18*30%)</f>
        <v>65.759999999999991</v>
      </c>
      <c r="E31" s="171">
        <f t="shared" si="1"/>
        <v>65.759999999999991</v>
      </c>
      <c r="F31" s="171"/>
      <c r="G31" s="147">
        <f t="shared" si="2"/>
        <v>0</v>
      </c>
    </row>
    <row r="32" spans="1:7" ht="12.75" customHeight="1">
      <c r="A32" s="48"/>
      <c r="B32" s="72" t="s">
        <v>52</v>
      </c>
      <c r="C32" s="131" t="s">
        <v>16</v>
      </c>
      <c r="D32" s="155">
        <f>+(158*3.23+10*2.5)*30%-(E19*30%)</f>
        <v>160.60199999999998</v>
      </c>
      <c r="E32" s="171">
        <f t="shared" si="1"/>
        <v>160.60199999999998</v>
      </c>
      <c r="F32" s="171"/>
      <c r="G32" s="147">
        <f t="shared" si="2"/>
        <v>0</v>
      </c>
    </row>
    <row r="33" spans="1:7" ht="12.75" customHeight="1">
      <c r="A33" s="48"/>
      <c r="B33" s="72"/>
      <c r="C33" s="131"/>
      <c r="D33" s="172"/>
      <c r="E33" s="172"/>
      <c r="F33" s="171"/>
      <c r="G33" s="144"/>
    </row>
    <row r="34" spans="1:7" ht="255" customHeight="1">
      <c r="A34" s="48">
        <f>+A20+1</f>
        <v>3</v>
      </c>
      <c r="B34" s="64" t="s">
        <v>412</v>
      </c>
      <c r="C34" s="133"/>
      <c r="D34" s="450"/>
      <c r="E34" s="451"/>
      <c r="F34" s="173"/>
      <c r="G34" s="174"/>
    </row>
    <row r="35" spans="1:7" ht="12.75" customHeight="1">
      <c r="A35" s="48"/>
      <c r="B35" s="72" t="s">
        <v>32</v>
      </c>
      <c r="C35" s="131" t="s">
        <v>16</v>
      </c>
      <c r="D35" s="155">
        <f>+(758*3.58+41*2.5)*50%-(E8*50%)</f>
        <v>1268.3841</v>
      </c>
      <c r="E35" s="171">
        <f t="shared" ref="E35:E46" si="3">+D35</f>
        <v>1268.3841</v>
      </c>
      <c r="F35" s="171"/>
      <c r="G35" s="147">
        <f>E35*F35</f>
        <v>0</v>
      </c>
    </row>
    <row r="36" spans="1:7" ht="12.75" customHeight="1">
      <c r="A36" s="48"/>
      <c r="B36" s="72" t="s">
        <v>33</v>
      </c>
      <c r="C36" s="131" t="s">
        <v>16</v>
      </c>
      <c r="D36" s="155">
        <f>+(79*2.58+164*2.39+5*2.5)*50%-(E9*50%)</f>
        <v>293.24</v>
      </c>
      <c r="E36" s="171">
        <f t="shared" si="3"/>
        <v>293.24</v>
      </c>
      <c r="F36" s="171"/>
      <c r="G36" s="147">
        <f t="shared" ref="G36:G46" si="4">E36*F36</f>
        <v>0</v>
      </c>
    </row>
    <row r="37" spans="1:7" ht="12.75" customHeight="1">
      <c r="A37" s="48"/>
      <c r="B37" s="72" t="s">
        <v>34</v>
      </c>
      <c r="C37" s="131" t="s">
        <v>16</v>
      </c>
      <c r="D37" s="155">
        <f>(135*2.69+6*2.5)*50%-(E10*50%)</f>
        <v>189.07499999999999</v>
      </c>
      <c r="E37" s="171">
        <f t="shared" si="3"/>
        <v>189.07499999999999</v>
      </c>
      <c r="F37" s="171"/>
      <c r="G37" s="147">
        <f t="shared" si="4"/>
        <v>0</v>
      </c>
    </row>
    <row r="38" spans="1:7" ht="12.75" customHeight="1">
      <c r="A38" s="48"/>
      <c r="B38" s="72" t="s">
        <v>35</v>
      </c>
      <c r="C38" s="131" t="s">
        <v>16</v>
      </c>
      <c r="D38" s="155">
        <f>(38*2.69)*50%-(E11*50%)</f>
        <v>51.11</v>
      </c>
      <c r="E38" s="171">
        <f t="shared" si="3"/>
        <v>51.11</v>
      </c>
      <c r="F38" s="171"/>
      <c r="G38" s="147">
        <f t="shared" si="4"/>
        <v>0</v>
      </c>
    </row>
    <row r="39" spans="1:7" ht="12.75" customHeight="1">
      <c r="A39" s="48"/>
      <c r="B39" s="72" t="s">
        <v>36</v>
      </c>
      <c r="C39" s="131" t="s">
        <v>16</v>
      </c>
      <c r="D39" s="155">
        <f>+(73*3.58+6*2.5)*50%-(E12*50%)</f>
        <v>121.43290000000002</v>
      </c>
      <c r="E39" s="171">
        <f t="shared" si="3"/>
        <v>121.43290000000002</v>
      </c>
      <c r="F39" s="171"/>
      <c r="G39" s="147">
        <f t="shared" si="4"/>
        <v>0</v>
      </c>
    </row>
    <row r="40" spans="1:7" ht="12.75" customHeight="1">
      <c r="A40" s="48"/>
      <c r="B40" s="72" t="s">
        <v>37</v>
      </c>
      <c r="C40" s="131" t="s">
        <v>16</v>
      </c>
      <c r="D40" s="155">
        <f>+(55*3.58+4*2.5)*50%-(E13*50%)</f>
        <v>90.855199999999996</v>
      </c>
      <c r="E40" s="171">
        <f t="shared" si="3"/>
        <v>90.855199999999996</v>
      </c>
      <c r="F40" s="171"/>
      <c r="G40" s="147">
        <f t="shared" si="4"/>
        <v>0</v>
      </c>
    </row>
    <row r="41" spans="1:7" ht="12.75" customHeight="1">
      <c r="A41" s="48"/>
      <c r="B41" s="72" t="s">
        <v>47</v>
      </c>
      <c r="C41" s="131" t="s">
        <v>16</v>
      </c>
      <c r="D41" s="155">
        <f>+(236*3.34+13*2.5)*50%-(E14*50%)</f>
        <v>410.37</v>
      </c>
      <c r="E41" s="171">
        <f t="shared" si="3"/>
        <v>410.37</v>
      </c>
      <c r="F41" s="171"/>
      <c r="G41" s="147">
        <f t="shared" si="4"/>
        <v>0</v>
      </c>
    </row>
    <row r="42" spans="1:7" ht="12.75" customHeight="1">
      <c r="A42" s="48"/>
      <c r="B42" s="72" t="s">
        <v>49</v>
      </c>
      <c r="C42" s="131" t="s">
        <v>16</v>
      </c>
      <c r="D42" s="155">
        <f>+(99*2.28+7*2.5)*50%-(E15*50%)</f>
        <v>121.60999999999999</v>
      </c>
      <c r="E42" s="171">
        <f t="shared" si="3"/>
        <v>121.60999999999999</v>
      </c>
      <c r="F42" s="171"/>
      <c r="G42" s="147">
        <f t="shared" si="4"/>
        <v>0</v>
      </c>
    </row>
    <row r="43" spans="1:7" ht="12.75" customHeight="1">
      <c r="A43" s="48"/>
      <c r="B43" s="72" t="s">
        <v>48</v>
      </c>
      <c r="C43" s="131" t="s">
        <v>16</v>
      </c>
      <c r="D43" s="155">
        <f>+(86*2.9+5*2.5)*50%-(E16*50%)</f>
        <v>130.94999999999999</v>
      </c>
      <c r="E43" s="171">
        <f t="shared" si="3"/>
        <v>130.94999999999999</v>
      </c>
      <c r="F43" s="171"/>
      <c r="G43" s="147">
        <f t="shared" si="4"/>
        <v>0</v>
      </c>
    </row>
    <row r="44" spans="1:7" ht="12.75" customHeight="1">
      <c r="A44" s="48"/>
      <c r="B44" s="72" t="s">
        <v>50</v>
      </c>
      <c r="C44" s="131" t="s">
        <v>16</v>
      </c>
      <c r="D44" s="155">
        <f>+(201*4.31+81*1.92+14*2.5)*50%-(E17*50%)</f>
        <v>474.73299999999995</v>
      </c>
      <c r="E44" s="171">
        <f t="shared" si="3"/>
        <v>474.73299999999995</v>
      </c>
      <c r="F44" s="171"/>
      <c r="G44" s="147">
        <f t="shared" si="4"/>
        <v>0</v>
      </c>
    </row>
    <row r="45" spans="1:7" ht="12.75" customHeight="1">
      <c r="A45" s="48"/>
      <c r="B45" s="72" t="s">
        <v>51</v>
      </c>
      <c r="C45" s="131" t="s">
        <v>16</v>
      </c>
      <c r="D45" s="155">
        <f>+(73*2.9+3*2.5)*50%-(E18*50%)</f>
        <v>109.6</v>
      </c>
      <c r="E45" s="171">
        <f t="shared" si="3"/>
        <v>109.6</v>
      </c>
      <c r="F45" s="171"/>
      <c r="G45" s="147">
        <f t="shared" si="4"/>
        <v>0</v>
      </c>
    </row>
    <row r="46" spans="1:7" ht="12.75" customHeight="1">
      <c r="A46" s="48"/>
      <c r="B46" s="72" t="s">
        <v>52</v>
      </c>
      <c r="C46" s="131" t="s">
        <v>16</v>
      </c>
      <c r="D46" s="155">
        <f>+(158*3.23+10*2.5)*50%-(E19*50%)</f>
        <v>267.66999999999996</v>
      </c>
      <c r="E46" s="171">
        <f t="shared" si="3"/>
        <v>267.66999999999996</v>
      </c>
      <c r="F46" s="171"/>
      <c r="G46" s="147">
        <f t="shared" si="4"/>
        <v>0</v>
      </c>
    </row>
    <row r="47" spans="1:7" ht="12.75" customHeight="1">
      <c r="A47" s="48"/>
      <c r="B47" s="49"/>
      <c r="C47" s="131"/>
      <c r="D47" s="170"/>
      <c r="E47" s="171"/>
      <c r="F47" s="171"/>
      <c r="G47" s="144"/>
    </row>
    <row r="48" spans="1:7" ht="257.25" customHeight="1">
      <c r="A48" s="48">
        <f>+A34+1</f>
        <v>4</v>
      </c>
      <c r="B48" s="64" t="s">
        <v>413</v>
      </c>
      <c r="C48" s="134"/>
      <c r="D48" s="155"/>
      <c r="E48" s="451"/>
      <c r="F48" s="173"/>
      <c r="G48" s="147"/>
    </row>
    <row r="49" spans="1:7" ht="12.75" customHeight="1">
      <c r="A49" s="48"/>
      <c r="B49" s="72" t="s">
        <v>32</v>
      </c>
      <c r="C49" s="131" t="s">
        <v>16</v>
      </c>
      <c r="D49" s="155">
        <f>+(758*3.58+41*2.5)*20%-(E8*20%)</f>
        <v>507.35363999999993</v>
      </c>
      <c r="E49" s="171">
        <f t="shared" ref="E49:E60" si="5">+D49</f>
        <v>507.35363999999993</v>
      </c>
      <c r="F49" s="171"/>
      <c r="G49" s="147">
        <f>E49*F49</f>
        <v>0</v>
      </c>
    </row>
    <row r="50" spans="1:7" ht="12.75" customHeight="1">
      <c r="A50" s="48"/>
      <c r="B50" s="72" t="s">
        <v>33</v>
      </c>
      <c r="C50" s="131" t="s">
        <v>16</v>
      </c>
      <c r="D50" s="155">
        <f>+(79*2.58+164*2.39+5*2.5)*20%-(E9*20%)</f>
        <v>117.29600000000001</v>
      </c>
      <c r="E50" s="171">
        <f t="shared" si="5"/>
        <v>117.29600000000001</v>
      </c>
      <c r="F50" s="171"/>
      <c r="G50" s="147">
        <f t="shared" ref="G50:G60" si="6">E50*F50</f>
        <v>0</v>
      </c>
    </row>
    <row r="51" spans="1:7" ht="12.75" customHeight="1">
      <c r="A51" s="48"/>
      <c r="B51" s="72" t="s">
        <v>34</v>
      </c>
      <c r="C51" s="131" t="s">
        <v>16</v>
      </c>
      <c r="D51" s="155">
        <f>(135*2.69+6*2.5)*20%-(E10*20%)</f>
        <v>75.63</v>
      </c>
      <c r="E51" s="171">
        <f t="shared" si="5"/>
        <v>75.63</v>
      </c>
      <c r="F51" s="171"/>
      <c r="G51" s="147">
        <f t="shared" si="6"/>
        <v>0</v>
      </c>
    </row>
    <row r="52" spans="1:7" ht="12.75" customHeight="1">
      <c r="A52" s="48"/>
      <c r="B52" s="72" t="s">
        <v>35</v>
      </c>
      <c r="C52" s="131" t="s">
        <v>16</v>
      </c>
      <c r="D52" s="155">
        <f>(38*2.69)*20%-(E11*20%)</f>
        <v>20.444000000000003</v>
      </c>
      <c r="E52" s="171">
        <f t="shared" si="5"/>
        <v>20.444000000000003</v>
      </c>
      <c r="F52" s="171"/>
      <c r="G52" s="147">
        <f t="shared" si="6"/>
        <v>0</v>
      </c>
    </row>
    <row r="53" spans="1:7" ht="12.75" customHeight="1">
      <c r="A53" s="48"/>
      <c r="B53" s="72" t="s">
        <v>36</v>
      </c>
      <c r="C53" s="131" t="s">
        <v>16</v>
      </c>
      <c r="D53" s="155">
        <f>+(73*3.58+6*2.5)*20%-(E12*20%)</f>
        <v>48.573160000000009</v>
      </c>
      <c r="E53" s="171">
        <f t="shared" si="5"/>
        <v>48.573160000000009</v>
      </c>
      <c r="F53" s="171"/>
      <c r="G53" s="147">
        <f t="shared" si="6"/>
        <v>0</v>
      </c>
    </row>
    <row r="54" spans="1:7" ht="12.75" customHeight="1">
      <c r="A54" s="48"/>
      <c r="B54" s="72" t="s">
        <v>37</v>
      </c>
      <c r="C54" s="131" t="s">
        <v>16</v>
      </c>
      <c r="D54" s="155">
        <f>+(55*3.58+4*2.5)*20%-(E13*20%)</f>
        <v>36.342080000000003</v>
      </c>
      <c r="E54" s="171">
        <f t="shared" si="5"/>
        <v>36.342080000000003</v>
      </c>
      <c r="F54" s="171"/>
      <c r="G54" s="147">
        <f t="shared" si="6"/>
        <v>0</v>
      </c>
    </row>
    <row r="55" spans="1:7" ht="12.75" customHeight="1">
      <c r="A55" s="48"/>
      <c r="B55" s="72" t="s">
        <v>47</v>
      </c>
      <c r="C55" s="131" t="s">
        <v>16</v>
      </c>
      <c r="D55" s="155">
        <f>+(236*3.34+13*2.5)*20%-(E14*20%)</f>
        <v>164.14800000000002</v>
      </c>
      <c r="E55" s="171">
        <f t="shared" si="5"/>
        <v>164.14800000000002</v>
      </c>
      <c r="F55" s="171"/>
      <c r="G55" s="147">
        <f t="shared" si="6"/>
        <v>0</v>
      </c>
    </row>
    <row r="56" spans="1:7" ht="12.75" customHeight="1">
      <c r="A56" s="48"/>
      <c r="B56" s="72" t="s">
        <v>49</v>
      </c>
      <c r="C56" s="131" t="s">
        <v>16</v>
      </c>
      <c r="D56" s="155">
        <f>+(99*2.28+7*2.5)*20%-(E15*20%)</f>
        <v>48.643999999999998</v>
      </c>
      <c r="E56" s="171">
        <f t="shared" si="5"/>
        <v>48.643999999999998</v>
      </c>
      <c r="F56" s="171"/>
      <c r="G56" s="147">
        <f t="shared" si="6"/>
        <v>0</v>
      </c>
    </row>
    <row r="57" spans="1:7" ht="12.75" customHeight="1">
      <c r="A57" s="48"/>
      <c r="B57" s="72" t="s">
        <v>48</v>
      </c>
      <c r="C57" s="131" t="s">
        <v>16</v>
      </c>
      <c r="D57" s="155">
        <f>+(86*2.9+5*2.5)*20%-(E16*20%)</f>
        <v>52.379999999999995</v>
      </c>
      <c r="E57" s="171">
        <f t="shared" si="5"/>
        <v>52.379999999999995</v>
      </c>
      <c r="F57" s="171"/>
      <c r="G57" s="147">
        <f t="shared" si="6"/>
        <v>0</v>
      </c>
    </row>
    <row r="58" spans="1:7" ht="12.75" customHeight="1">
      <c r="A58" s="48"/>
      <c r="B58" s="72" t="s">
        <v>50</v>
      </c>
      <c r="C58" s="131" t="s">
        <v>16</v>
      </c>
      <c r="D58" s="155">
        <f>+(201*4.31+81*1.92+14*2.5)*20%-(E17*20%)</f>
        <v>189.89319999999998</v>
      </c>
      <c r="E58" s="171">
        <f t="shared" si="5"/>
        <v>189.89319999999998</v>
      </c>
      <c r="F58" s="171"/>
      <c r="G58" s="147">
        <f t="shared" si="6"/>
        <v>0</v>
      </c>
    </row>
    <row r="59" spans="1:7" ht="12.75" customHeight="1">
      <c r="A59" s="48"/>
      <c r="B59" s="72" t="s">
        <v>51</v>
      </c>
      <c r="C59" s="131" t="s">
        <v>16</v>
      </c>
      <c r="D59" s="155">
        <f>+(73*2.9+3*2.5)*20%-(E18*20%)</f>
        <v>43.84</v>
      </c>
      <c r="E59" s="171">
        <f t="shared" si="5"/>
        <v>43.84</v>
      </c>
      <c r="F59" s="171"/>
      <c r="G59" s="147">
        <f t="shared" si="6"/>
        <v>0</v>
      </c>
    </row>
    <row r="60" spans="1:7" ht="12.75" customHeight="1">
      <c r="A60" s="48"/>
      <c r="B60" s="72" t="s">
        <v>52</v>
      </c>
      <c r="C60" s="131" t="s">
        <v>16</v>
      </c>
      <c r="D60" s="155">
        <f>+(158*3.23+10*2.5)*20%-(E19*20%)</f>
        <v>107.06799999999998</v>
      </c>
      <c r="E60" s="171">
        <f t="shared" si="5"/>
        <v>107.06799999999998</v>
      </c>
      <c r="F60" s="171"/>
      <c r="G60" s="147">
        <f t="shared" si="6"/>
        <v>0</v>
      </c>
    </row>
    <row r="61" spans="1:7" ht="12.75" customHeight="1">
      <c r="A61" s="48"/>
      <c r="B61" s="52"/>
      <c r="C61" s="134"/>
      <c r="D61" s="130"/>
      <c r="E61" s="175"/>
      <c r="F61" s="173"/>
      <c r="G61" s="147"/>
    </row>
    <row r="62" spans="1:7" ht="167.25" customHeight="1">
      <c r="A62" s="48">
        <f>+A48+1</f>
        <v>5</v>
      </c>
      <c r="B62" s="56" t="s">
        <v>22</v>
      </c>
      <c r="C62" s="134"/>
      <c r="D62" s="153"/>
      <c r="E62" s="153"/>
      <c r="F62" s="153"/>
      <c r="G62" s="154"/>
    </row>
    <row r="63" spans="1:7" ht="12.75" customHeight="1">
      <c r="A63" s="48"/>
      <c r="B63" s="72" t="s">
        <v>32</v>
      </c>
      <c r="C63" s="134" t="s">
        <v>15</v>
      </c>
      <c r="D63" s="192">
        <v>2</v>
      </c>
      <c r="E63" s="153">
        <f t="shared" ref="E63:E74" si="7">+D63</f>
        <v>2</v>
      </c>
      <c r="F63" s="153"/>
      <c r="G63" s="154">
        <f t="shared" ref="G63:G74" si="8">E63*F63</f>
        <v>0</v>
      </c>
    </row>
    <row r="64" spans="1:7" ht="12.75" customHeight="1">
      <c r="A64" s="48"/>
      <c r="B64" s="72" t="s">
        <v>33</v>
      </c>
      <c r="C64" s="134" t="s">
        <v>15</v>
      </c>
      <c r="D64" s="192">
        <v>0</v>
      </c>
      <c r="E64" s="153">
        <f t="shared" si="7"/>
        <v>0</v>
      </c>
      <c r="F64" s="153"/>
      <c r="G64" s="154">
        <f t="shared" si="8"/>
        <v>0</v>
      </c>
    </row>
    <row r="65" spans="1:7" ht="12.75" customHeight="1">
      <c r="A65" s="48"/>
      <c r="B65" s="72" t="s">
        <v>34</v>
      </c>
      <c r="C65" s="134" t="s">
        <v>15</v>
      </c>
      <c r="D65" s="192">
        <v>2</v>
      </c>
      <c r="E65" s="153">
        <f t="shared" si="7"/>
        <v>2</v>
      </c>
      <c r="F65" s="153"/>
      <c r="G65" s="154">
        <f t="shared" si="8"/>
        <v>0</v>
      </c>
    </row>
    <row r="66" spans="1:7" ht="12.75" customHeight="1">
      <c r="A66" s="48"/>
      <c r="B66" s="72" t="s">
        <v>35</v>
      </c>
      <c r="C66" s="134" t="s">
        <v>15</v>
      </c>
      <c r="D66" s="192">
        <v>0</v>
      </c>
      <c r="E66" s="153">
        <f t="shared" si="7"/>
        <v>0</v>
      </c>
      <c r="F66" s="153"/>
      <c r="G66" s="154">
        <f t="shared" si="8"/>
        <v>0</v>
      </c>
    </row>
    <row r="67" spans="1:7" ht="12.75" customHeight="1">
      <c r="A67" s="48"/>
      <c r="B67" s="72" t="s">
        <v>36</v>
      </c>
      <c r="C67" s="134" t="s">
        <v>15</v>
      </c>
      <c r="D67" s="192">
        <v>0</v>
      </c>
      <c r="E67" s="153">
        <f t="shared" si="7"/>
        <v>0</v>
      </c>
      <c r="F67" s="153"/>
      <c r="G67" s="154">
        <f t="shared" si="8"/>
        <v>0</v>
      </c>
    </row>
    <row r="68" spans="1:7" ht="12.75" customHeight="1">
      <c r="A68" s="48"/>
      <c r="B68" s="72" t="s">
        <v>37</v>
      </c>
      <c r="C68" s="134" t="s">
        <v>15</v>
      </c>
      <c r="D68" s="192">
        <v>0</v>
      </c>
      <c r="E68" s="153">
        <f t="shared" si="7"/>
        <v>0</v>
      </c>
      <c r="F68" s="153"/>
      <c r="G68" s="154">
        <f t="shared" si="8"/>
        <v>0</v>
      </c>
    </row>
    <row r="69" spans="1:7" ht="12.75" customHeight="1">
      <c r="A69" s="48"/>
      <c r="B69" s="72" t="s">
        <v>47</v>
      </c>
      <c r="C69" s="134" t="s">
        <v>15</v>
      </c>
      <c r="D69" s="192">
        <v>3</v>
      </c>
      <c r="E69" s="153">
        <f t="shared" si="7"/>
        <v>3</v>
      </c>
      <c r="F69" s="153"/>
      <c r="G69" s="154">
        <f t="shared" si="8"/>
        <v>0</v>
      </c>
    </row>
    <row r="70" spans="1:7" ht="12.75" customHeight="1">
      <c r="A70" s="48"/>
      <c r="B70" s="72" t="s">
        <v>49</v>
      </c>
      <c r="C70" s="134" t="s">
        <v>15</v>
      </c>
      <c r="D70" s="192">
        <v>3</v>
      </c>
      <c r="E70" s="153">
        <f t="shared" si="7"/>
        <v>3</v>
      </c>
      <c r="F70" s="153"/>
      <c r="G70" s="154">
        <f t="shared" si="8"/>
        <v>0</v>
      </c>
    </row>
    <row r="71" spans="1:7" ht="12.75" customHeight="1">
      <c r="A71" s="48"/>
      <c r="B71" s="72" t="s">
        <v>48</v>
      </c>
      <c r="C71" s="134" t="s">
        <v>15</v>
      </c>
      <c r="D71" s="192">
        <v>3</v>
      </c>
      <c r="E71" s="153">
        <f t="shared" si="7"/>
        <v>3</v>
      </c>
      <c r="F71" s="153"/>
      <c r="G71" s="154">
        <f t="shared" si="8"/>
        <v>0</v>
      </c>
    </row>
    <row r="72" spans="1:7" ht="12.75" customHeight="1">
      <c r="A72" s="48"/>
      <c r="B72" s="72" t="s">
        <v>50</v>
      </c>
      <c r="C72" s="134" t="s">
        <v>15</v>
      </c>
      <c r="D72" s="192">
        <v>3</v>
      </c>
      <c r="E72" s="153">
        <f t="shared" si="7"/>
        <v>3</v>
      </c>
      <c r="F72" s="153"/>
      <c r="G72" s="154">
        <f t="shared" si="8"/>
        <v>0</v>
      </c>
    </row>
    <row r="73" spans="1:7" ht="12.75" customHeight="1">
      <c r="A73" s="48"/>
      <c r="B73" s="72" t="s">
        <v>51</v>
      </c>
      <c r="C73" s="134" t="s">
        <v>15</v>
      </c>
      <c r="D73" s="192">
        <v>0</v>
      </c>
      <c r="E73" s="153">
        <f t="shared" si="7"/>
        <v>0</v>
      </c>
      <c r="F73" s="153"/>
      <c r="G73" s="154">
        <f t="shared" si="8"/>
        <v>0</v>
      </c>
    </row>
    <row r="74" spans="1:7" ht="12.75" customHeight="1">
      <c r="A74" s="48"/>
      <c r="B74" s="72" t="s">
        <v>52</v>
      </c>
      <c r="C74" s="134" t="s">
        <v>15</v>
      </c>
      <c r="D74" s="192">
        <v>2</v>
      </c>
      <c r="E74" s="153">
        <f t="shared" si="7"/>
        <v>2</v>
      </c>
      <c r="F74" s="153"/>
      <c r="G74" s="154">
        <f t="shared" si="8"/>
        <v>0</v>
      </c>
    </row>
    <row r="75" spans="1:7" ht="12.75" customHeight="1">
      <c r="A75" s="48"/>
      <c r="B75" s="52"/>
      <c r="C75" s="134"/>
      <c r="D75" s="130"/>
      <c r="E75" s="175"/>
      <c r="F75" s="173"/>
      <c r="G75" s="147"/>
    </row>
    <row r="76" spans="1:7" ht="165.75">
      <c r="A76" s="48">
        <f>+A62+1</f>
        <v>6</v>
      </c>
      <c r="B76" s="64" t="s">
        <v>414</v>
      </c>
      <c r="C76" s="134"/>
      <c r="D76" s="153"/>
      <c r="E76" s="153"/>
      <c r="F76" s="153"/>
      <c r="G76" s="154"/>
    </row>
    <row r="77" spans="1:7" ht="12.75" customHeight="1">
      <c r="A77" s="48"/>
      <c r="B77" s="72" t="s">
        <v>32</v>
      </c>
      <c r="C77" s="134" t="s">
        <v>15</v>
      </c>
      <c r="D77" s="192">
        <v>2</v>
      </c>
      <c r="E77" s="153">
        <f t="shared" ref="E77:E88" si="9">+D77</f>
        <v>2</v>
      </c>
      <c r="F77" s="153"/>
      <c r="G77" s="154">
        <f t="shared" ref="G77:G88" si="10">E77*F77</f>
        <v>0</v>
      </c>
    </row>
    <row r="78" spans="1:7" ht="12.75" customHeight="1">
      <c r="A78" s="48"/>
      <c r="B78" s="72" t="s">
        <v>33</v>
      </c>
      <c r="C78" s="134" t="s">
        <v>15</v>
      </c>
      <c r="D78" s="192">
        <v>0</v>
      </c>
      <c r="E78" s="153">
        <f t="shared" si="9"/>
        <v>0</v>
      </c>
      <c r="F78" s="153"/>
      <c r="G78" s="154">
        <f t="shared" si="10"/>
        <v>0</v>
      </c>
    </row>
    <row r="79" spans="1:7" ht="12.75" customHeight="1">
      <c r="A79" s="48"/>
      <c r="B79" s="72" t="s">
        <v>34</v>
      </c>
      <c r="C79" s="134" t="s">
        <v>15</v>
      </c>
      <c r="D79" s="192">
        <v>2</v>
      </c>
      <c r="E79" s="153">
        <f t="shared" si="9"/>
        <v>2</v>
      </c>
      <c r="F79" s="153"/>
      <c r="G79" s="154">
        <f t="shared" si="10"/>
        <v>0</v>
      </c>
    </row>
    <row r="80" spans="1:7" ht="12.75" customHeight="1">
      <c r="A80" s="48"/>
      <c r="B80" s="72" t="s">
        <v>35</v>
      </c>
      <c r="C80" s="134" t="s">
        <v>15</v>
      </c>
      <c r="D80" s="192">
        <v>0</v>
      </c>
      <c r="E80" s="153">
        <f t="shared" si="9"/>
        <v>0</v>
      </c>
      <c r="F80" s="153"/>
      <c r="G80" s="154">
        <f t="shared" si="10"/>
        <v>0</v>
      </c>
    </row>
    <row r="81" spans="1:7" ht="12.75" customHeight="1">
      <c r="A81" s="48"/>
      <c r="B81" s="72" t="s">
        <v>36</v>
      </c>
      <c r="C81" s="134" t="s">
        <v>15</v>
      </c>
      <c r="D81" s="192">
        <v>0</v>
      </c>
      <c r="E81" s="153">
        <f t="shared" si="9"/>
        <v>0</v>
      </c>
      <c r="F81" s="153"/>
      <c r="G81" s="154">
        <f t="shared" si="10"/>
        <v>0</v>
      </c>
    </row>
    <row r="82" spans="1:7" ht="12.75" customHeight="1">
      <c r="A82" s="48"/>
      <c r="B82" s="72" t="s">
        <v>37</v>
      </c>
      <c r="C82" s="134" t="s">
        <v>15</v>
      </c>
      <c r="D82" s="192">
        <v>0</v>
      </c>
      <c r="E82" s="153">
        <f t="shared" si="9"/>
        <v>0</v>
      </c>
      <c r="F82" s="153"/>
      <c r="G82" s="154">
        <f t="shared" si="10"/>
        <v>0</v>
      </c>
    </row>
    <row r="83" spans="1:7" ht="12.75" customHeight="1">
      <c r="A83" s="48"/>
      <c r="B83" s="72" t="s">
        <v>47</v>
      </c>
      <c r="C83" s="134" t="s">
        <v>15</v>
      </c>
      <c r="D83" s="192">
        <v>3</v>
      </c>
      <c r="E83" s="153">
        <f t="shared" si="9"/>
        <v>3</v>
      </c>
      <c r="F83" s="153"/>
      <c r="G83" s="154">
        <f t="shared" si="10"/>
        <v>0</v>
      </c>
    </row>
    <row r="84" spans="1:7" ht="12.75" customHeight="1">
      <c r="A84" s="48"/>
      <c r="B84" s="72" t="s">
        <v>49</v>
      </c>
      <c r="C84" s="134" t="s">
        <v>15</v>
      </c>
      <c r="D84" s="192">
        <v>3</v>
      </c>
      <c r="E84" s="153">
        <f t="shared" si="9"/>
        <v>3</v>
      </c>
      <c r="F84" s="153"/>
      <c r="G84" s="154">
        <f t="shared" si="10"/>
        <v>0</v>
      </c>
    </row>
    <row r="85" spans="1:7" ht="12.75" customHeight="1">
      <c r="A85" s="48"/>
      <c r="B85" s="72" t="s">
        <v>48</v>
      </c>
      <c r="C85" s="134" t="s">
        <v>15</v>
      </c>
      <c r="D85" s="192">
        <v>3</v>
      </c>
      <c r="E85" s="153">
        <f t="shared" si="9"/>
        <v>3</v>
      </c>
      <c r="F85" s="153"/>
      <c r="G85" s="154">
        <f t="shared" si="10"/>
        <v>0</v>
      </c>
    </row>
    <row r="86" spans="1:7" ht="12.75" customHeight="1">
      <c r="A86" s="48"/>
      <c r="B86" s="72" t="s">
        <v>50</v>
      </c>
      <c r="C86" s="134" t="s">
        <v>15</v>
      </c>
      <c r="D86" s="192">
        <v>3</v>
      </c>
      <c r="E86" s="153">
        <f t="shared" si="9"/>
        <v>3</v>
      </c>
      <c r="F86" s="153"/>
      <c r="G86" s="154">
        <f t="shared" si="10"/>
        <v>0</v>
      </c>
    </row>
    <row r="87" spans="1:7" ht="12.75" customHeight="1">
      <c r="A87" s="48"/>
      <c r="B87" s="72" t="s">
        <v>51</v>
      </c>
      <c r="C87" s="134" t="s">
        <v>15</v>
      </c>
      <c r="D87" s="192">
        <v>0</v>
      </c>
      <c r="E87" s="153">
        <f t="shared" si="9"/>
        <v>0</v>
      </c>
      <c r="F87" s="153"/>
      <c r="G87" s="154">
        <f t="shared" si="10"/>
        <v>0</v>
      </c>
    </row>
    <row r="88" spans="1:7" ht="12.75" customHeight="1">
      <c r="A88" s="48"/>
      <c r="B88" s="72" t="s">
        <v>52</v>
      </c>
      <c r="C88" s="134" t="s">
        <v>15</v>
      </c>
      <c r="D88" s="192">
        <v>2</v>
      </c>
      <c r="E88" s="153">
        <f t="shared" si="9"/>
        <v>2</v>
      </c>
      <c r="F88" s="153"/>
      <c r="G88" s="154">
        <f t="shared" si="10"/>
        <v>0</v>
      </c>
    </row>
    <row r="89" spans="1:7" ht="12.75" customHeight="1">
      <c r="A89" s="48"/>
      <c r="B89" s="52"/>
      <c r="C89" s="134"/>
      <c r="D89" s="130"/>
      <c r="E89" s="175"/>
      <c r="F89" s="173"/>
      <c r="G89" s="147"/>
    </row>
    <row r="90" spans="1:7" ht="51">
      <c r="A90" s="48">
        <f>+A76+1</f>
        <v>7</v>
      </c>
      <c r="B90" s="64" t="s">
        <v>23</v>
      </c>
      <c r="C90" s="131"/>
      <c r="D90" s="155"/>
      <c r="E90" s="155"/>
      <c r="F90" s="172"/>
      <c r="G90" s="156"/>
    </row>
    <row r="91" spans="1:7" ht="12.75" customHeight="1">
      <c r="A91" s="48"/>
      <c r="B91" s="72" t="s">
        <v>32</v>
      </c>
      <c r="C91" s="131" t="s">
        <v>17</v>
      </c>
      <c r="D91" s="155" t="s">
        <v>203</v>
      </c>
      <c r="E91" s="155">
        <f>757.33*0.9</f>
        <v>681.59700000000009</v>
      </c>
      <c r="F91" s="172"/>
      <c r="G91" s="156">
        <f t="shared" ref="G91:G102" si="11">+E91*F91</f>
        <v>0</v>
      </c>
    </row>
    <row r="92" spans="1:7" ht="12.75" customHeight="1">
      <c r="A92" s="48"/>
      <c r="B92" s="72" t="s">
        <v>33</v>
      </c>
      <c r="C92" s="131" t="s">
        <v>17</v>
      </c>
      <c r="D92" s="155" t="s">
        <v>204</v>
      </c>
      <c r="E92" s="155">
        <f>242.1*0.9</f>
        <v>217.89</v>
      </c>
      <c r="F92" s="172"/>
      <c r="G92" s="156">
        <f t="shared" si="11"/>
        <v>0</v>
      </c>
    </row>
    <row r="93" spans="1:7" ht="12.75" customHeight="1">
      <c r="A93" s="48"/>
      <c r="B93" s="72" t="s">
        <v>34</v>
      </c>
      <c r="C93" s="131" t="s">
        <v>17</v>
      </c>
      <c r="D93" s="155" t="s">
        <v>205</v>
      </c>
      <c r="E93" s="155">
        <f>134.06*0.9</f>
        <v>120.65400000000001</v>
      </c>
      <c r="F93" s="172"/>
      <c r="G93" s="156">
        <f t="shared" si="11"/>
        <v>0</v>
      </c>
    </row>
    <row r="94" spans="1:7" ht="12.75" customHeight="1">
      <c r="A94" s="48"/>
      <c r="B94" s="72" t="s">
        <v>35</v>
      </c>
      <c r="C94" s="131" t="s">
        <v>17</v>
      </c>
      <c r="D94" s="155" t="s">
        <v>250</v>
      </c>
      <c r="E94" s="155">
        <f>38.05*0.9</f>
        <v>34.244999999999997</v>
      </c>
      <c r="F94" s="172"/>
      <c r="G94" s="156">
        <f t="shared" si="11"/>
        <v>0</v>
      </c>
    </row>
    <row r="95" spans="1:7" ht="12.75" customHeight="1">
      <c r="A95" s="48"/>
      <c r="B95" s="72" t="s">
        <v>36</v>
      </c>
      <c r="C95" s="131" t="s">
        <v>17</v>
      </c>
      <c r="D95" s="155" t="s">
        <v>262</v>
      </c>
      <c r="E95" s="155">
        <f>72.77*0.9</f>
        <v>65.492999999999995</v>
      </c>
      <c r="F95" s="172"/>
      <c r="G95" s="156">
        <f t="shared" si="11"/>
        <v>0</v>
      </c>
    </row>
    <row r="96" spans="1:7" ht="12.75" customHeight="1">
      <c r="A96" s="48"/>
      <c r="B96" s="72" t="s">
        <v>37</v>
      </c>
      <c r="C96" s="131" t="s">
        <v>17</v>
      </c>
      <c r="D96" s="155" t="s">
        <v>263</v>
      </c>
      <c r="E96" s="155">
        <f>54.76*0.9</f>
        <v>49.283999999999999</v>
      </c>
      <c r="F96" s="172"/>
      <c r="G96" s="156">
        <f t="shared" si="11"/>
        <v>0</v>
      </c>
    </row>
    <row r="97" spans="1:7" ht="12.75" customHeight="1">
      <c r="A97" s="48"/>
      <c r="B97" s="72" t="s">
        <v>47</v>
      </c>
      <c r="C97" s="131" t="s">
        <v>17</v>
      </c>
      <c r="D97" s="155" t="s">
        <v>264</v>
      </c>
      <c r="E97" s="155">
        <f>235.5*0.9</f>
        <v>211.95000000000002</v>
      </c>
      <c r="F97" s="172"/>
      <c r="G97" s="156">
        <f t="shared" si="11"/>
        <v>0</v>
      </c>
    </row>
    <row r="98" spans="1:7" ht="12.75" customHeight="1">
      <c r="A98" s="48"/>
      <c r="B98" s="72" t="s">
        <v>49</v>
      </c>
      <c r="C98" s="131" t="s">
        <v>17</v>
      </c>
      <c r="D98" s="155" t="s">
        <v>265</v>
      </c>
      <c r="E98" s="155">
        <f>98.76*0.9</f>
        <v>88.884</v>
      </c>
      <c r="F98" s="172"/>
      <c r="G98" s="156">
        <f t="shared" si="11"/>
        <v>0</v>
      </c>
    </row>
    <row r="99" spans="1:7" ht="12.75" customHeight="1">
      <c r="A99" s="48"/>
      <c r="B99" s="72" t="s">
        <v>48</v>
      </c>
      <c r="C99" s="131" t="s">
        <v>17</v>
      </c>
      <c r="D99" s="155" t="s">
        <v>266</v>
      </c>
      <c r="E99" s="155">
        <f>85.68*0.9</f>
        <v>77.112000000000009</v>
      </c>
      <c r="F99" s="172"/>
      <c r="G99" s="156">
        <f t="shared" si="11"/>
        <v>0</v>
      </c>
    </row>
    <row r="100" spans="1:7" ht="12.75" customHeight="1">
      <c r="A100" s="48"/>
      <c r="B100" s="72" t="s">
        <v>50</v>
      </c>
      <c r="C100" s="131" t="s">
        <v>17</v>
      </c>
      <c r="D100" s="155" t="s">
        <v>267</v>
      </c>
      <c r="E100" s="155">
        <f>280.4*0.9</f>
        <v>252.35999999999999</v>
      </c>
      <c r="F100" s="172"/>
      <c r="G100" s="156">
        <f t="shared" si="11"/>
        <v>0</v>
      </c>
    </row>
    <row r="101" spans="1:7" ht="12.75" customHeight="1">
      <c r="A101" s="48"/>
      <c r="B101" s="72" t="s">
        <v>51</v>
      </c>
      <c r="C101" s="131" t="s">
        <v>17</v>
      </c>
      <c r="D101" s="155" t="s">
        <v>268</v>
      </c>
      <c r="E101" s="155">
        <f>72.33*0.9</f>
        <v>65.096999999999994</v>
      </c>
      <c r="F101" s="172"/>
      <c r="G101" s="156">
        <f t="shared" si="11"/>
        <v>0</v>
      </c>
    </row>
    <row r="102" spans="1:7" ht="12.75" customHeight="1">
      <c r="A102" s="48"/>
      <c r="B102" s="72" t="s">
        <v>52</v>
      </c>
      <c r="C102" s="131" t="s">
        <v>17</v>
      </c>
      <c r="D102" s="155" t="s">
        <v>269</v>
      </c>
      <c r="E102" s="155">
        <f>157.99*0.9</f>
        <v>142.191</v>
      </c>
      <c r="F102" s="172"/>
      <c r="G102" s="156">
        <f t="shared" si="11"/>
        <v>0</v>
      </c>
    </row>
    <row r="103" spans="1:7" ht="12.75" customHeight="1">
      <c r="A103" s="48"/>
      <c r="B103" s="72"/>
      <c r="C103" s="131"/>
      <c r="D103" s="155"/>
      <c r="E103" s="155"/>
      <c r="F103" s="172"/>
      <c r="G103" s="156"/>
    </row>
    <row r="104" spans="1:7" ht="140.25" customHeight="1">
      <c r="A104" s="48">
        <f>+A90+1</f>
        <v>8</v>
      </c>
      <c r="B104" s="53" t="s">
        <v>415</v>
      </c>
      <c r="C104" s="135"/>
      <c r="D104" s="130"/>
      <c r="E104" s="157"/>
      <c r="F104" s="158"/>
      <c r="G104" s="159"/>
    </row>
    <row r="105" spans="1:7" ht="39">
      <c r="A105" s="48"/>
      <c r="B105" s="72" t="s">
        <v>32</v>
      </c>
      <c r="C105" s="135" t="s">
        <v>16</v>
      </c>
      <c r="D105" s="63" t="s">
        <v>111</v>
      </c>
      <c r="E105" s="63">
        <f>+(757.33-(55+39+18+38))*0.5</f>
        <v>303.66500000000002</v>
      </c>
      <c r="F105" s="68"/>
      <c r="G105" s="467">
        <f t="shared" ref="G105:G116" si="12">E105*F105</f>
        <v>0</v>
      </c>
    </row>
    <row r="106" spans="1:7" ht="12.75" customHeight="1">
      <c r="A106" s="48"/>
      <c r="B106" s="72" t="s">
        <v>33</v>
      </c>
      <c r="C106" s="135" t="s">
        <v>16</v>
      </c>
      <c r="D106" s="157" t="s">
        <v>112</v>
      </c>
      <c r="E106" s="157">
        <f>109*0.5</f>
        <v>54.5</v>
      </c>
      <c r="F106" s="158"/>
      <c r="G106" s="159">
        <f t="shared" si="12"/>
        <v>0</v>
      </c>
    </row>
    <row r="107" spans="1:7" ht="12.75" customHeight="1">
      <c r="A107" s="48"/>
      <c r="B107" s="72" t="s">
        <v>34</v>
      </c>
      <c r="C107" s="135" t="s">
        <v>16</v>
      </c>
      <c r="D107" s="157">
        <v>0</v>
      </c>
      <c r="E107" s="157">
        <f>+D107</f>
        <v>0</v>
      </c>
      <c r="F107" s="158"/>
      <c r="G107" s="159">
        <f t="shared" si="12"/>
        <v>0</v>
      </c>
    </row>
    <row r="108" spans="1:7" ht="12.75" customHeight="1">
      <c r="A108" s="48"/>
      <c r="B108" s="72" t="s">
        <v>35</v>
      </c>
      <c r="C108" s="135" t="s">
        <v>16</v>
      </c>
      <c r="D108" s="157">
        <v>0</v>
      </c>
      <c r="E108" s="157">
        <f>+D108</f>
        <v>0</v>
      </c>
      <c r="F108" s="158"/>
      <c r="G108" s="159">
        <f t="shared" si="12"/>
        <v>0</v>
      </c>
    </row>
    <row r="109" spans="1:7" ht="12.75" customHeight="1">
      <c r="A109" s="48"/>
      <c r="B109" s="72" t="s">
        <v>36</v>
      </c>
      <c r="C109" s="135" t="s">
        <v>16</v>
      </c>
      <c r="D109" s="157" t="s">
        <v>113</v>
      </c>
      <c r="E109" s="157">
        <f>72.77*0.5</f>
        <v>36.384999999999998</v>
      </c>
      <c r="F109" s="158"/>
      <c r="G109" s="159">
        <f t="shared" si="12"/>
        <v>0</v>
      </c>
    </row>
    <row r="110" spans="1:7" ht="12.75" customHeight="1">
      <c r="A110" s="48"/>
      <c r="B110" s="72" t="s">
        <v>37</v>
      </c>
      <c r="C110" s="135" t="s">
        <v>16</v>
      </c>
      <c r="D110" s="157" t="s">
        <v>116</v>
      </c>
      <c r="E110" s="157">
        <f>54.76*0.5</f>
        <v>27.38</v>
      </c>
      <c r="F110" s="158"/>
      <c r="G110" s="159">
        <f t="shared" si="12"/>
        <v>0</v>
      </c>
    </row>
    <row r="111" spans="1:7" ht="12.75" customHeight="1">
      <c r="A111" s="48"/>
      <c r="B111" s="72" t="s">
        <v>47</v>
      </c>
      <c r="C111" s="135" t="s">
        <v>16</v>
      </c>
      <c r="D111" s="157">
        <v>0</v>
      </c>
      <c r="E111" s="157">
        <f t="shared" ref="E111:E113" si="13">+D111</f>
        <v>0</v>
      </c>
      <c r="F111" s="158"/>
      <c r="G111" s="159">
        <f t="shared" si="12"/>
        <v>0</v>
      </c>
    </row>
    <row r="112" spans="1:7" ht="12.75" customHeight="1">
      <c r="A112" s="48"/>
      <c r="B112" s="72" t="s">
        <v>49</v>
      </c>
      <c r="C112" s="135" t="s">
        <v>16</v>
      </c>
      <c r="D112" s="157">
        <v>0</v>
      </c>
      <c r="E112" s="157">
        <f t="shared" si="13"/>
        <v>0</v>
      </c>
      <c r="F112" s="158"/>
      <c r="G112" s="159">
        <f t="shared" si="12"/>
        <v>0</v>
      </c>
    </row>
    <row r="113" spans="1:7" ht="12.75" customHeight="1">
      <c r="A113" s="48"/>
      <c r="B113" s="72" t="s">
        <v>48</v>
      </c>
      <c r="C113" s="135" t="s">
        <v>16</v>
      </c>
      <c r="D113" s="157">
        <v>0</v>
      </c>
      <c r="E113" s="157">
        <f t="shared" si="13"/>
        <v>0</v>
      </c>
      <c r="F113" s="158"/>
      <c r="G113" s="159">
        <f t="shared" si="12"/>
        <v>0</v>
      </c>
    </row>
    <row r="114" spans="1:7" ht="27" customHeight="1">
      <c r="A114" s="48"/>
      <c r="B114" s="72" t="s">
        <v>50</v>
      </c>
      <c r="C114" s="135" t="s">
        <v>16</v>
      </c>
      <c r="D114" s="250" t="s">
        <v>114</v>
      </c>
      <c r="E114" s="67">
        <f>+((280.4-(11+8+28))*0.5)</f>
        <v>116.69999999999999</v>
      </c>
      <c r="F114" s="68"/>
      <c r="G114" s="467">
        <f t="shared" si="12"/>
        <v>0</v>
      </c>
    </row>
    <row r="115" spans="1:7" ht="12.75" customHeight="1">
      <c r="A115" s="48"/>
      <c r="B115" s="72" t="s">
        <v>51</v>
      </c>
      <c r="C115" s="135" t="s">
        <v>16</v>
      </c>
      <c r="D115" s="157">
        <v>0</v>
      </c>
      <c r="E115" s="157">
        <f t="shared" ref="E115:E116" si="14">+D115</f>
        <v>0</v>
      </c>
      <c r="F115" s="158"/>
      <c r="G115" s="159">
        <f t="shared" si="12"/>
        <v>0</v>
      </c>
    </row>
    <row r="116" spans="1:7" ht="12.75" customHeight="1">
      <c r="A116" s="48"/>
      <c r="B116" s="72" t="s">
        <v>52</v>
      </c>
      <c r="C116" s="135" t="s">
        <v>16</v>
      </c>
      <c r="D116" s="157">
        <v>0</v>
      </c>
      <c r="E116" s="157">
        <f t="shared" si="14"/>
        <v>0</v>
      </c>
      <c r="F116" s="158"/>
      <c r="G116" s="159">
        <f t="shared" si="12"/>
        <v>0</v>
      </c>
    </row>
    <row r="117" spans="1:7" ht="12.75" customHeight="1">
      <c r="A117" s="48"/>
      <c r="B117" s="72"/>
      <c r="C117" s="131"/>
      <c r="D117" s="155"/>
      <c r="E117" s="155"/>
      <c r="F117" s="172"/>
      <c r="G117" s="156"/>
    </row>
    <row r="118" spans="1:7" ht="103.5" customHeight="1">
      <c r="A118" s="48">
        <f>+A104+1</f>
        <v>9</v>
      </c>
      <c r="B118" s="69" t="s">
        <v>416</v>
      </c>
      <c r="C118" s="134"/>
      <c r="D118" s="130"/>
      <c r="E118" s="130"/>
      <c r="F118" s="160"/>
      <c r="G118" s="154"/>
    </row>
    <row r="119" spans="1:7" ht="26.25">
      <c r="A119" s="48"/>
      <c r="B119" s="72" t="s">
        <v>32</v>
      </c>
      <c r="C119" s="134" t="s">
        <v>16</v>
      </c>
      <c r="D119" s="63" t="s">
        <v>117</v>
      </c>
      <c r="E119" s="63">
        <f>+(55+39+18+38)*0.1</f>
        <v>15</v>
      </c>
      <c r="F119" s="70"/>
      <c r="G119" s="66">
        <f t="shared" ref="G119:G130" si="15">E119*F119</f>
        <v>0</v>
      </c>
    </row>
    <row r="120" spans="1:7" ht="25.5">
      <c r="A120" s="48"/>
      <c r="B120" s="72" t="s">
        <v>33</v>
      </c>
      <c r="C120" s="134" t="s">
        <v>16</v>
      </c>
      <c r="D120" s="157" t="s">
        <v>118</v>
      </c>
      <c r="E120" s="67">
        <f>+(242.1-109)*0.1</f>
        <v>13.31</v>
      </c>
      <c r="F120" s="70"/>
      <c r="G120" s="66">
        <f t="shared" si="15"/>
        <v>0</v>
      </c>
    </row>
    <row r="121" spans="1:7" ht="12.75" customHeight="1">
      <c r="A121" s="48"/>
      <c r="B121" s="72" t="s">
        <v>34</v>
      </c>
      <c r="C121" s="134" t="s">
        <v>16</v>
      </c>
      <c r="D121" s="157" t="s">
        <v>119</v>
      </c>
      <c r="E121" s="157">
        <f>134.06*0.1</f>
        <v>13.406000000000001</v>
      </c>
      <c r="F121" s="160"/>
      <c r="G121" s="154">
        <f t="shared" si="15"/>
        <v>0</v>
      </c>
    </row>
    <row r="122" spans="1:7" ht="12.75" customHeight="1">
      <c r="A122" s="48"/>
      <c r="B122" s="72" t="s">
        <v>35</v>
      </c>
      <c r="C122" s="134" t="s">
        <v>16</v>
      </c>
      <c r="D122" s="157" t="s">
        <v>251</v>
      </c>
      <c r="E122" s="157">
        <f>38.05*0.1</f>
        <v>3.8049999999999997</v>
      </c>
      <c r="F122" s="160"/>
      <c r="G122" s="154">
        <f t="shared" si="15"/>
        <v>0</v>
      </c>
    </row>
    <row r="123" spans="1:7" ht="12.75" customHeight="1">
      <c r="A123" s="48"/>
      <c r="B123" s="72" t="s">
        <v>36</v>
      </c>
      <c r="C123" s="134" t="s">
        <v>16</v>
      </c>
      <c r="D123" s="157">
        <v>0</v>
      </c>
      <c r="E123" s="130">
        <f>+D123</f>
        <v>0</v>
      </c>
      <c r="F123" s="160"/>
      <c r="G123" s="154">
        <f t="shared" si="15"/>
        <v>0</v>
      </c>
    </row>
    <row r="124" spans="1:7" ht="12.75" customHeight="1">
      <c r="A124" s="48"/>
      <c r="B124" s="72" t="s">
        <v>37</v>
      </c>
      <c r="C124" s="134" t="s">
        <v>16</v>
      </c>
      <c r="D124" s="157">
        <v>0</v>
      </c>
      <c r="E124" s="130">
        <f>+D124</f>
        <v>0</v>
      </c>
      <c r="F124" s="160"/>
      <c r="G124" s="154">
        <f t="shared" si="15"/>
        <v>0</v>
      </c>
    </row>
    <row r="125" spans="1:7" ht="12.75" customHeight="1">
      <c r="A125" s="48"/>
      <c r="B125" s="72" t="s">
        <v>47</v>
      </c>
      <c r="C125" s="134" t="s">
        <v>16</v>
      </c>
      <c r="D125" s="157" t="s">
        <v>120</v>
      </c>
      <c r="E125" s="157">
        <f>235.5*0.1</f>
        <v>23.55</v>
      </c>
      <c r="F125" s="160"/>
      <c r="G125" s="154">
        <f t="shared" si="15"/>
        <v>0</v>
      </c>
    </row>
    <row r="126" spans="1:7" ht="12.75" customHeight="1">
      <c r="A126" s="48"/>
      <c r="B126" s="72" t="s">
        <v>49</v>
      </c>
      <c r="C126" s="134" t="s">
        <v>16</v>
      </c>
      <c r="D126" s="157" t="s">
        <v>121</v>
      </c>
      <c r="E126" s="157">
        <f>98.79*0.1</f>
        <v>9.8790000000000013</v>
      </c>
      <c r="F126" s="160"/>
      <c r="G126" s="154">
        <f t="shared" si="15"/>
        <v>0</v>
      </c>
    </row>
    <row r="127" spans="1:7" ht="12.75" customHeight="1">
      <c r="A127" s="48"/>
      <c r="B127" s="72" t="s">
        <v>48</v>
      </c>
      <c r="C127" s="134" t="s">
        <v>16</v>
      </c>
      <c r="D127" s="157" t="s">
        <v>122</v>
      </c>
      <c r="E127" s="157">
        <f>85.68*0.1</f>
        <v>8.5680000000000014</v>
      </c>
      <c r="F127" s="160"/>
      <c r="G127" s="154">
        <f t="shared" si="15"/>
        <v>0</v>
      </c>
    </row>
    <row r="128" spans="1:7" ht="15">
      <c r="A128" s="48"/>
      <c r="B128" s="72" t="s">
        <v>50</v>
      </c>
      <c r="C128" s="134" t="s">
        <v>16</v>
      </c>
      <c r="D128" s="157" t="s">
        <v>123</v>
      </c>
      <c r="E128" s="157">
        <f>+(11+8+28)*0.1</f>
        <v>4.7</v>
      </c>
      <c r="F128" s="160"/>
      <c r="G128" s="154">
        <f t="shared" si="15"/>
        <v>0</v>
      </c>
    </row>
    <row r="129" spans="1:7" ht="12.75" customHeight="1">
      <c r="A129" s="48"/>
      <c r="B129" s="72" t="s">
        <v>51</v>
      </c>
      <c r="C129" s="134" t="s">
        <v>16</v>
      </c>
      <c r="D129" s="157" t="s">
        <v>124</v>
      </c>
      <c r="E129" s="157">
        <f>72.33*0.1</f>
        <v>7.2330000000000005</v>
      </c>
      <c r="F129" s="160"/>
      <c r="G129" s="154">
        <f t="shared" si="15"/>
        <v>0</v>
      </c>
    </row>
    <row r="130" spans="1:7" ht="12.75" customHeight="1">
      <c r="A130" s="48"/>
      <c r="B130" s="72" t="s">
        <v>52</v>
      </c>
      <c r="C130" s="134" t="s">
        <v>16</v>
      </c>
      <c r="D130" s="157" t="s">
        <v>125</v>
      </c>
      <c r="E130" s="157">
        <f>157.99*0.1</f>
        <v>15.799000000000001</v>
      </c>
      <c r="F130" s="160"/>
      <c r="G130" s="154">
        <f t="shared" si="15"/>
        <v>0</v>
      </c>
    </row>
    <row r="131" spans="1:7" ht="12.75" customHeight="1">
      <c r="A131" s="48"/>
      <c r="B131" s="72"/>
      <c r="C131" s="134"/>
      <c r="D131" s="130"/>
      <c r="E131" s="130"/>
      <c r="F131" s="160"/>
      <c r="G131" s="154"/>
    </row>
    <row r="132" spans="1:7" ht="114.75">
      <c r="A132" s="48">
        <f>+A118+1</f>
        <v>10</v>
      </c>
      <c r="B132" s="69" t="s">
        <v>417</v>
      </c>
      <c r="C132" s="134"/>
      <c r="D132" s="130"/>
      <c r="E132" s="130"/>
      <c r="F132" s="160"/>
      <c r="G132" s="154"/>
    </row>
    <row r="133" spans="1:7" ht="26.25">
      <c r="A133" s="48"/>
      <c r="B133" s="72" t="s">
        <v>32</v>
      </c>
      <c r="C133" s="134" t="s">
        <v>16</v>
      </c>
      <c r="D133" s="63" t="s">
        <v>126</v>
      </c>
      <c r="E133" s="63">
        <f>+(55+39+18+38)*0.25</f>
        <v>37.5</v>
      </c>
      <c r="F133" s="70"/>
      <c r="G133" s="66">
        <f t="shared" ref="G133:G144" si="16">E133*F133</f>
        <v>0</v>
      </c>
    </row>
    <row r="134" spans="1:7" ht="25.5">
      <c r="A134" s="48"/>
      <c r="B134" s="72" t="s">
        <v>33</v>
      </c>
      <c r="C134" s="134" t="s">
        <v>16</v>
      </c>
      <c r="D134" s="157" t="s">
        <v>127</v>
      </c>
      <c r="E134" s="67">
        <f>+(242.1-109)*0.25</f>
        <v>33.274999999999999</v>
      </c>
      <c r="F134" s="70"/>
      <c r="G134" s="66">
        <f t="shared" si="16"/>
        <v>0</v>
      </c>
    </row>
    <row r="135" spans="1:7" ht="12.75" customHeight="1">
      <c r="A135" s="48"/>
      <c r="B135" s="72" t="s">
        <v>34</v>
      </c>
      <c r="C135" s="134" t="s">
        <v>16</v>
      </c>
      <c r="D135" s="157" t="s">
        <v>128</v>
      </c>
      <c r="E135" s="157">
        <f>134.06*0.25</f>
        <v>33.515000000000001</v>
      </c>
      <c r="F135" s="160"/>
      <c r="G135" s="154">
        <f t="shared" si="16"/>
        <v>0</v>
      </c>
    </row>
    <row r="136" spans="1:7" ht="12.75" customHeight="1">
      <c r="A136" s="48"/>
      <c r="B136" s="72" t="s">
        <v>35</v>
      </c>
      <c r="C136" s="134" t="s">
        <v>16</v>
      </c>
      <c r="D136" s="157" t="s">
        <v>252</v>
      </c>
      <c r="E136" s="157">
        <f>38.05*0.25</f>
        <v>9.5124999999999993</v>
      </c>
      <c r="F136" s="160"/>
      <c r="G136" s="154">
        <f t="shared" si="16"/>
        <v>0</v>
      </c>
    </row>
    <row r="137" spans="1:7" ht="12.75" customHeight="1">
      <c r="A137" s="48"/>
      <c r="B137" s="72" t="s">
        <v>36</v>
      </c>
      <c r="C137" s="134" t="s">
        <v>16</v>
      </c>
      <c r="D137" s="157">
        <v>0</v>
      </c>
      <c r="E137" s="157">
        <v>0</v>
      </c>
      <c r="F137" s="160"/>
      <c r="G137" s="154">
        <f t="shared" si="16"/>
        <v>0</v>
      </c>
    </row>
    <row r="138" spans="1:7" ht="12.75" customHeight="1">
      <c r="A138" s="48"/>
      <c r="B138" s="72" t="s">
        <v>37</v>
      </c>
      <c r="C138" s="134" t="s">
        <v>16</v>
      </c>
      <c r="D138" s="157">
        <v>0</v>
      </c>
      <c r="E138" s="157">
        <v>0</v>
      </c>
      <c r="F138" s="160"/>
      <c r="G138" s="154">
        <f t="shared" si="16"/>
        <v>0</v>
      </c>
    </row>
    <row r="139" spans="1:7" ht="12.75" customHeight="1">
      <c r="A139" s="48"/>
      <c r="B139" s="72" t="s">
        <v>47</v>
      </c>
      <c r="C139" s="134" t="s">
        <v>16</v>
      </c>
      <c r="D139" s="157" t="s">
        <v>129</v>
      </c>
      <c r="E139" s="157">
        <f>235.5*0.25</f>
        <v>58.875</v>
      </c>
      <c r="F139" s="160"/>
      <c r="G139" s="154">
        <f t="shared" si="16"/>
        <v>0</v>
      </c>
    </row>
    <row r="140" spans="1:7" ht="12.75" customHeight="1">
      <c r="A140" s="48"/>
      <c r="B140" s="72" t="s">
        <v>49</v>
      </c>
      <c r="C140" s="134" t="s">
        <v>16</v>
      </c>
      <c r="D140" s="157" t="s">
        <v>130</v>
      </c>
      <c r="E140" s="157">
        <f>98.79*0.25</f>
        <v>24.697500000000002</v>
      </c>
      <c r="F140" s="160"/>
      <c r="G140" s="154">
        <f t="shared" si="16"/>
        <v>0</v>
      </c>
    </row>
    <row r="141" spans="1:7" ht="12.75" customHeight="1">
      <c r="A141" s="48"/>
      <c r="B141" s="72" t="s">
        <v>48</v>
      </c>
      <c r="C141" s="134" t="s">
        <v>16</v>
      </c>
      <c r="D141" s="157" t="s">
        <v>131</v>
      </c>
      <c r="E141" s="157">
        <f>85.68*0.25</f>
        <v>21.42</v>
      </c>
      <c r="F141" s="160"/>
      <c r="G141" s="154">
        <f t="shared" si="16"/>
        <v>0</v>
      </c>
    </row>
    <row r="142" spans="1:7" ht="12.75" customHeight="1">
      <c r="A142" s="48"/>
      <c r="B142" s="72" t="s">
        <v>50</v>
      </c>
      <c r="C142" s="134" t="s">
        <v>16</v>
      </c>
      <c r="D142" s="157" t="s">
        <v>132</v>
      </c>
      <c r="E142" s="157">
        <f>+(11+8+28)*0.25</f>
        <v>11.75</v>
      </c>
      <c r="F142" s="160"/>
      <c r="G142" s="154">
        <f t="shared" si="16"/>
        <v>0</v>
      </c>
    </row>
    <row r="143" spans="1:7" ht="12.75" customHeight="1">
      <c r="A143" s="48"/>
      <c r="B143" s="72" t="s">
        <v>51</v>
      </c>
      <c r="C143" s="134" t="s">
        <v>16</v>
      </c>
      <c r="D143" s="157" t="s">
        <v>133</v>
      </c>
      <c r="E143" s="157">
        <f>72.33*0.25</f>
        <v>18.0825</v>
      </c>
      <c r="F143" s="160"/>
      <c r="G143" s="154">
        <f t="shared" si="16"/>
        <v>0</v>
      </c>
    </row>
    <row r="144" spans="1:7" ht="12.75" customHeight="1">
      <c r="A144" s="48"/>
      <c r="B144" s="72" t="s">
        <v>52</v>
      </c>
      <c r="C144" s="134" t="s">
        <v>16</v>
      </c>
      <c r="D144" s="157" t="s">
        <v>134</v>
      </c>
      <c r="E144" s="157">
        <f>157.99*0.25</f>
        <v>39.497500000000002</v>
      </c>
      <c r="F144" s="160"/>
      <c r="G144" s="154">
        <f t="shared" si="16"/>
        <v>0</v>
      </c>
    </row>
    <row r="145" spans="1:9" ht="12.75" customHeight="1">
      <c r="A145" s="48"/>
      <c r="B145" s="72"/>
      <c r="C145" s="134"/>
      <c r="D145" s="130"/>
      <c r="E145" s="130"/>
      <c r="F145" s="160"/>
      <c r="G145" s="154"/>
    </row>
    <row r="146" spans="1:9" ht="206.25" customHeight="1">
      <c r="A146" s="48">
        <f>+A132+1</f>
        <v>11</v>
      </c>
      <c r="B146" s="69" t="s">
        <v>418</v>
      </c>
      <c r="C146" s="134"/>
      <c r="D146" s="130"/>
      <c r="E146" s="130"/>
      <c r="F146" s="160"/>
      <c r="G146" s="154"/>
    </row>
    <row r="147" spans="1:9" ht="12.75" customHeight="1">
      <c r="A147" s="48"/>
      <c r="B147" s="72" t="s">
        <v>32</v>
      </c>
      <c r="C147" s="134" t="s">
        <v>56</v>
      </c>
      <c r="D147" s="130">
        <v>0</v>
      </c>
      <c r="E147" s="130">
        <f t="shared" ref="E147:E158" si="17">+D147</f>
        <v>0</v>
      </c>
      <c r="F147" s="160"/>
      <c r="G147" s="154">
        <f t="shared" ref="G147:G158" si="18">E147*F147</f>
        <v>0</v>
      </c>
      <c r="H147" s="214"/>
      <c r="I147" s="214"/>
    </row>
    <row r="148" spans="1:9" ht="12.75" customHeight="1">
      <c r="A148" s="48"/>
      <c r="B148" s="72" t="s">
        <v>33</v>
      </c>
      <c r="C148" s="134" t="s">
        <v>56</v>
      </c>
      <c r="D148" s="130">
        <v>0</v>
      </c>
      <c r="E148" s="130">
        <f t="shared" si="17"/>
        <v>0</v>
      </c>
      <c r="F148" s="160"/>
      <c r="G148" s="154">
        <f t="shared" si="18"/>
        <v>0</v>
      </c>
    </row>
    <row r="149" spans="1:9" ht="12.75" customHeight="1">
      <c r="A149" s="48"/>
      <c r="B149" s="72" t="s">
        <v>34</v>
      </c>
      <c r="C149" s="134" t="s">
        <v>56</v>
      </c>
      <c r="D149" s="130">
        <v>0</v>
      </c>
      <c r="E149" s="130">
        <f t="shared" si="17"/>
        <v>0</v>
      </c>
      <c r="F149" s="160"/>
      <c r="G149" s="154">
        <f t="shared" si="18"/>
        <v>0</v>
      </c>
    </row>
    <row r="150" spans="1:9" ht="12.75" customHeight="1">
      <c r="A150" s="48"/>
      <c r="B150" s="72" t="s">
        <v>35</v>
      </c>
      <c r="C150" s="134" t="s">
        <v>56</v>
      </c>
      <c r="D150" s="130">
        <v>0</v>
      </c>
      <c r="E150" s="130">
        <f t="shared" si="17"/>
        <v>0</v>
      </c>
      <c r="F150" s="160"/>
      <c r="G150" s="154">
        <f t="shared" si="18"/>
        <v>0</v>
      </c>
    </row>
    <row r="151" spans="1:9" ht="12.75" customHeight="1">
      <c r="A151" s="48"/>
      <c r="B151" s="72" t="s">
        <v>36</v>
      </c>
      <c r="C151" s="134" t="s">
        <v>56</v>
      </c>
      <c r="D151" s="130">
        <v>0</v>
      </c>
      <c r="E151" s="130">
        <f t="shared" si="17"/>
        <v>0</v>
      </c>
      <c r="F151" s="160"/>
      <c r="G151" s="154">
        <f t="shared" si="18"/>
        <v>0</v>
      </c>
    </row>
    <row r="152" spans="1:9" ht="12.75" customHeight="1">
      <c r="A152" s="48"/>
      <c r="B152" s="72" t="s">
        <v>37</v>
      </c>
      <c r="C152" s="134" t="s">
        <v>56</v>
      </c>
      <c r="D152" s="130">
        <v>54</v>
      </c>
      <c r="E152" s="130">
        <f t="shared" si="17"/>
        <v>54</v>
      </c>
      <c r="F152" s="160"/>
      <c r="G152" s="154">
        <f t="shared" si="18"/>
        <v>0</v>
      </c>
    </row>
    <row r="153" spans="1:9" ht="12.75" customHeight="1">
      <c r="A153" s="48"/>
      <c r="B153" s="72" t="s">
        <v>47</v>
      </c>
      <c r="C153" s="134" t="s">
        <v>56</v>
      </c>
      <c r="D153" s="130">
        <v>0</v>
      </c>
      <c r="E153" s="130">
        <f t="shared" si="17"/>
        <v>0</v>
      </c>
      <c r="F153" s="160"/>
      <c r="G153" s="154">
        <f t="shared" si="18"/>
        <v>0</v>
      </c>
    </row>
    <row r="154" spans="1:9" ht="12.75" customHeight="1">
      <c r="A154" s="48"/>
      <c r="B154" s="72" t="s">
        <v>49</v>
      </c>
      <c r="C154" s="134" t="s">
        <v>56</v>
      </c>
      <c r="D154" s="130">
        <v>0</v>
      </c>
      <c r="E154" s="130">
        <f t="shared" si="17"/>
        <v>0</v>
      </c>
      <c r="F154" s="160"/>
      <c r="G154" s="154">
        <f t="shared" si="18"/>
        <v>0</v>
      </c>
    </row>
    <row r="155" spans="1:9" ht="12.75" customHeight="1">
      <c r="A155" s="48"/>
      <c r="B155" s="72" t="s">
        <v>48</v>
      </c>
      <c r="C155" s="134" t="s">
        <v>56</v>
      </c>
      <c r="D155" s="130">
        <v>0</v>
      </c>
      <c r="E155" s="130">
        <f t="shared" si="17"/>
        <v>0</v>
      </c>
      <c r="F155" s="160"/>
      <c r="G155" s="154">
        <f t="shared" si="18"/>
        <v>0</v>
      </c>
    </row>
    <row r="156" spans="1:9" ht="12.75" customHeight="1">
      <c r="A156" s="48"/>
      <c r="B156" s="72" t="s">
        <v>50</v>
      </c>
      <c r="C156" s="134" t="s">
        <v>56</v>
      </c>
      <c r="D156" s="130">
        <v>0</v>
      </c>
      <c r="E156" s="130">
        <f t="shared" si="17"/>
        <v>0</v>
      </c>
      <c r="F156" s="160"/>
      <c r="G156" s="154">
        <f t="shared" si="18"/>
        <v>0</v>
      </c>
    </row>
    <row r="157" spans="1:9" ht="12.75" customHeight="1">
      <c r="A157" s="48"/>
      <c r="B157" s="72" t="s">
        <v>51</v>
      </c>
      <c r="C157" s="134" t="s">
        <v>56</v>
      </c>
      <c r="D157" s="130">
        <v>0</v>
      </c>
      <c r="E157" s="130">
        <f t="shared" si="17"/>
        <v>0</v>
      </c>
      <c r="F157" s="160"/>
      <c r="G157" s="154">
        <f t="shared" si="18"/>
        <v>0</v>
      </c>
    </row>
    <row r="158" spans="1:9" ht="12.75" customHeight="1">
      <c r="A158" s="48"/>
      <c r="B158" s="72" t="s">
        <v>52</v>
      </c>
      <c r="C158" s="134" t="s">
        <v>56</v>
      </c>
      <c r="D158" s="130">
        <v>0</v>
      </c>
      <c r="E158" s="130">
        <f t="shared" si="17"/>
        <v>0</v>
      </c>
      <c r="F158" s="160"/>
      <c r="G158" s="154">
        <f t="shared" si="18"/>
        <v>0</v>
      </c>
    </row>
    <row r="159" spans="1:9" ht="12.75" customHeight="1">
      <c r="A159" s="48"/>
      <c r="B159" s="72"/>
      <c r="C159" s="134"/>
      <c r="D159" s="130"/>
      <c r="E159" s="130"/>
      <c r="F159" s="160"/>
      <c r="G159" s="154"/>
    </row>
    <row r="160" spans="1:9" ht="191.25">
      <c r="A160" s="48">
        <f>+A146+1</f>
        <v>12</v>
      </c>
      <c r="B160" s="72" t="s">
        <v>79</v>
      </c>
      <c r="C160" s="134"/>
      <c r="D160" s="130"/>
      <c r="E160" s="130"/>
      <c r="F160" s="160"/>
      <c r="G160" s="154"/>
    </row>
    <row r="161" spans="1:7" ht="12.75" customHeight="1">
      <c r="A161" s="48"/>
      <c r="B161" s="72" t="s">
        <v>32</v>
      </c>
      <c r="C161" s="134" t="s">
        <v>17</v>
      </c>
      <c r="D161" s="130">
        <v>10</v>
      </c>
      <c r="E161" s="130">
        <f t="shared" ref="E161:E172" si="19">+D161</f>
        <v>10</v>
      </c>
      <c r="F161" s="160"/>
      <c r="G161" s="154">
        <f t="shared" ref="G161:G172" si="20">E161*F161</f>
        <v>0</v>
      </c>
    </row>
    <row r="162" spans="1:7" ht="12.75" customHeight="1">
      <c r="A162" s="48"/>
      <c r="B162" s="72" t="s">
        <v>33</v>
      </c>
      <c r="C162" s="134" t="s">
        <v>17</v>
      </c>
      <c r="D162" s="130">
        <v>10</v>
      </c>
      <c r="E162" s="130">
        <f t="shared" si="19"/>
        <v>10</v>
      </c>
      <c r="F162" s="160"/>
      <c r="G162" s="154">
        <f t="shared" si="20"/>
        <v>0</v>
      </c>
    </row>
    <row r="163" spans="1:7" ht="12.75" customHeight="1">
      <c r="A163" s="48"/>
      <c r="B163" s="72" t="s">
        <v>34</v>
      </c>
      <c r="C163" s="134" t="s">
        <v>17</v>
      </c>
      <c r="D163" s="130">
        <v>10</v>
      </c>
      <c r="E163" s="130">
        <f t="shared" si="19"/>
        <v>10</v>
      </c>
      <c r="F163" s="160"/>
      <c r="G163" s="154">
        <f t="shared" si="20"/>
        <v>0</v>
      </c>
    </row>
    <row r="164" spans="1:7" ht="12.75" customHeight="1">
      <c r="A164" s="48"/>
      <c r="B164" s="72" t="s">
        <v>35</v>
      </c>
      <c r="C164" s="134" t="s">
        <v>17</v>
      </c>
      <c r="D164" s="130">
        <v>10</v>
      </c>
      <c r="E164" s="130">
        <f t="shared" si="19"/>
        <v>10</v>
      </c>
      <c r="F164" s="160"/>
      <c r="G164" s="154">
        <f t="shared" si="20"/>
        <v>0</v>
      </c>
    </row>
    <row r="165" spans="1:7" ht="12.75" customHeight="1">
      <c r="A165" s="48"/>
      <c r="B165" s="72" t="s">
        <v>36</v>
      </c>
      <c r="C165" s="134" t="s">
        <v>17</v>
      </c>
      <c r="D165" s="130">
        <v>10</v>
      </c>
      <c r="E165" s="130">
        <f t="shared" si="19"/>
        <v>10</v>
      </c>
      <c r="F165" s="160"/>
      <c r="G165" s="154">
        <f t="shared" si="20"/>
        <v>0</v>
      </c>
    </row>
    <row r="166" spans="1:7" ht="12.75" customHeight="1">
      <c r="A166" s="48"/>
      <c r="B166" s="72" t="s">
        <v>37</v>
      </c>
      <c r="C166" s="134" t="s">
        <v>17</v>
      </c>
      <c r="D166" s="130">
        <v>10</v>
      </c>
      <c r="E166" s="130">
        <f t="shared" si="19"/>
        <v>10</v>
      </c>
      <c r="F166" s="160"/>
      <c r="G166" s="154">
        <f t="shared" si="20"/>
        <v>0</v>
      </c>
    </row>
    <row r="167" spans="1:7" ht="12.75" customHeight="1">
      <c r="A167" s="48"/>
      <c r="B167" s="72" t="s">
        <v>47</v>
      </c>
      <c r="C167" s="134" t="s">
        <v>17</v>
      </c>
      <c r="D167" s="130">
        <v>10</v>
      </c>
      <c r="E167" s="130">
        <f t="shared" si="19"/>
        <v>10</v>
      </c>
      <c r="F167" s="160"/>
      <c r="G167" s="154">
        <f t="shared" si="20"/>
        <v>0</v>
      </c>
    </row>
    <row r="168" spans="1:7" ht="12.75" customHeight="1">
      <c r="A168" s="48"/>
      <c r="B168" s="72" t="s">
        <v>49</v>
      </c>
      <c r="C168" s="134" t="s">
        <v>17</v>
      </c>
      <c r="D168" s="130">
        <v>10</v>
      </c>
      <c r="E168" s="130">
        <f t="shared" si="19"/>
        <v>10</v>
      </c>
      <c r="F168" s="160"/>
      <c r="G168" s="154">
        <f t="shared" si="20"/>
        <v>0</v>
      </c>
    </row>
    <row r="169" spans="1:7" ht="12.75" customHeight="1">
      <c r="A169" s="48"/>
      <c r="B169" s="72" t="s">
        <v>48</v>
      </c>
      <c r="C169" s="134" t="s">
        <v>17</v>
      </c>
      <c r="D169" s="130">
        <v>10</v>
      </c>
      <c r="E169" s="130">
        <f t="shared" si="19"/>
        <v>10</v>
      </c>
      <c r="F169" s="160"/>
      <c r="G169" s="154">
        <f t="shared" si="20"/>
        <v>0</v>
      </c>
    </row>
    <row r="170" spans="1:7" ht="12.75" customHeight="1">
      <c r="A170" s="48"/>
      <c r="B170" s="72" t="s">
        <v>50</v>
      </c>
      <c r="C170" s="134" t="s">
        <v>17</v>
      </c>
      <c r="D170" s="130">
        <v>10</v>
      </c>
      <c r="E170" s="130">
        <f t="shared" si="19"/>
        <v>10</v>
      </c>
      <c r="F170" s="160"/>
      <c r="G170" s="154">
        <f t="shared" si="20"/>
        <v>0</v>
      </c>
    </row>
    <row r="171" spans="1:7" ht="12.75" customHeight="1">
      <c r="A171" s="48"/>
      <c r="B171" s="72" t="s">
        <v>51</v>
      </c>
      <c r="C171" s="134" t="s">
        <v>17</v>
      </c>
      <c r="D171" s="130">
        <v>10</v>
      </c>
      <c r="E171" s="130">
        <f t="shared" si="19"/>
        <v>10</v>
      </c>
      <c r="F171" s="160"/>
      <c r="G171" s="154">
        <f t="shared" si="20"/>
        <v>0</v>
      </c>
    </row>
    <row r="172" spans="1:7" ht="12.75" customHeight="1">
      <c r="A172" s="48"/>
      <c r="B172" s="72" t="s">
        <v>52</v>
      </c>
      <c r="C172" s="134" t="s">
        <v>17</v>
      </c>
      <c r="D172" s="130">
        <v>10</v>
      </c>
      <c r="E172" s="130">
        <f t="shared" si="19"/>
        <v>10</v>
      </c>
      <c r="F172" s="160"/>
      <c r="G172" s="154">
        <f t="shared" si="20"/>
        <v>0</v>
      </c>
    </row>
    <row r="173" spans="1:7" ht="12.75" customHeight="1">
      <c r="A173" s="48"/>
      <c r="B173" s="72"/>
      <c r="C173" s="134"/>
      <c r="D173" s="130"/>
      <c r="E173" s="130"/>
      <c r="F173" s="160"/>
      <c r="G173" s="154"/>
    </row>
    <row r="174" spans="1:7" ht="165.75">
      <c r="A174" s="48">
        <f>+A160+1</f>
        <v>13</v>
      </c>
      <c r="B174" s="69" t="s">
        <v>419</v>
      </c>
      <c r="C174" s="134"/>
      <c r="D174" s="130"/>
      <c r="E174" s="130"/>
      <c r="F174" s="160"/>
      <c r="G174" s="154"/>
    </row>
    <row r="175" spans="1:7" ht="12.75" customHeight="1">
      <c r="A175" s="48"/>
      <c r="B175" s="72" t="s">
        <v>32</v>
      </c>
      <c r="C175" s="134" t="s">
        <v>16</v>
      </c>
      <c r="D175" s="130" t="s">
        <v>162</v>
      </c>
      <c r="E175" s="130">
        <f>76*0.5</f>
        <v>38</v>
      </c>
      <c r="F175" s="160"/>
      <c r="G175" s="154">
        <f>+F175*E175</f>
        <v>0</v>
      </c>
    </row>
    <row r="176" spans="1:7" ht="12.75" customHeight="1">
      <c r="A176" s="48"/>
      <c r="B176" s="72" t="s">
        <v>33</v>
      </c>
      <c r="C176" s="134" t="s">
        <v>16</v>
      </c>
      <c r="D176" s="130">
        <v>1</v>
      </c>
      <c r="E176" s="130">
        <f t="shared" ref="E176:E183" si="21">+D176</f>
        <v>1</v>
      </c>
      <c r="F176" s="160"/>
      <c r="G176" s="154">
        <f t="shared" ref="G176:G186" si="22">+F176*E176</f>
        <v>0</v>
      </c>
    </row>
    <row r="177" spans="1:7" ht="12.75" customHeight="1">
      <c r="A177" s="48"/>
      <c r="B177" s="72" t="s">
        <v>34</v>
      </c>
      <c r="C177" s="134" t="s">
        <v>16</v>
      </c>
      <c r="D177" s="130">
        <v>1</v>
      </c>
      <c r="E177" s="130">
        <f t="shared" si="21"/>
        <v>1</v>
      </c>
      <c r="F177" s="160"/>
      <c r="G177" s="154">
        <f t="shared" si="22"/>
        <v>0</v>
      </c>
    </row>
    <row r="178" spans="1:7" ht="12.75" customHeight="1">
      <c r="A178" s="48"/>
      <c r="B178" s="72" t="s">
        <v>35</v>
      </c>
      <c r="C178" s="134" t="s">
        <v>16</v>
      </c>
      <c r="D178" s="130">
        <v>1</v>
      </c>
      <c r="E178" s="130">
        <v>1</v>
      </c>
      <c r="F178" s="160"/>
      <c r="G178" s="154">
        <f t="shared" si="22"/>
        <v>0</v>
      </c>
    </row>
    <row r="179" spans="1:7" ht="12.75" customHeight="1">
      <c r="A179" s="48"/>
      <c r="B179" s="72" t="s">
        <v>36</v>
      </c>
      <c r="C179" s="134" t="s">
        <v>16</v>
      </c>
      <c r="D179" s="130">
        <v>1</v>
      </c>
      <c r="E179" s="130">
        <f t="shared" si="21"/>
        <v>1</v>
      </c>
      <c r="F179" s="160"/>
      <c r="G179" s="154">
        <f t="shared" si="22"/>
        <v>0</v>
      </c>
    </row>
    <row r="180" spans="1:7" ht="12.75" customHeight="1">
      <c r="A180" s="48"/>
      <c r="B180" s="72" t="s">
        <v>37</v>
      </c>
      <c r="C180" s="134" t="s">
        <v>16</v>
      </c>
      <c r="D180" s="130">
        <v>1</v>
      </c>
      <c r="E180" s="130">
        <f t="shared" si="21"/>
        <v>1</v>
      </c>
      <c r="F180" s="160"/>
      <c r="G180" s="154">
        <f t="shared" si="22"/>
        <v>0</v>
      </c>
    </row>
    <row r="181" spans="1:7" ht="12.75" customHeight="1">
      <c r="A181" s="48"/>
      <c r="B181" s="72" t="s">
        <v>47</v>
      </c>
      <c r="C181" s="134" t="s">
        <v>16</v>
      </c>
      <c r="D181" s="130">
        <v>1</v>
      </c>
      <c r="E181" s="130">
        <f t="shared" si="21"/>
        <v>1</v>
      </c>
      <c r="F181" s="160"/>
      <c r="G181" s="154">
        <f t="shared" si="22"/>
        <v>0</v>
      </c>
    </row>
    <row r="182" spans="1:7" ht="12.75" customHeight="1">
      <c r="A182" s="48"/>
      <c r="B182" s="72" t="s">
        <v>49</v>
      </c>
      <c r="C182" s="134" t="s">
        <v>16</v>
      </c>
      <c r="D182" s="130">
        <v>1</v>
      </c>
      <c r="E182" s="130">
        <f t="shared" si="21"/>
        <v>1</v>
      </c>
      <c r="F182" s="160"/>
      <c r="G182" s="154">
        <f t="shared" si="22"/>
        <v>0</v>
      </c>
    </row>
    <row r="183" spans="1:7" ht="12.75" customHeight="1">
      <c r="A183" s="48"/>
      <c r="B183" s="72" t="s">
        <v>48</v>
      </c>
      <c r="C183" s="134" t="s">
        <v>16</v>
      </c>
      <c r="D183" s="130">
        <v>1</v>
      </c>
      <c r="E183" s="130">
        <f t="shared" si="21"/>
        <v>1</v>
      </c>
      <c r="F183" s="160"/>
      <c r="G183" s="154">
        <f t="shared" si="22"/>
        <v>0</v>
      </c>
    </row>
    <row r="184" spans="1:7" ht="12.75" customHeight="1">
      <c r="A184" s="48"/>
      <c r="B184" s="72" t="s">
        <v>50</v>
      </c>
      <c r="C184" s="134" t="s">
        <v>16</v>
      </c>
      <c r="D184" s="130" t="s">
        <v>163</v>
      </c>
      <c r="E184" s="130">
        <f>12*0.5</f>
        <v>6</v>
      </c>
      <c r="F184" s="160"/>
      <c r="G184" s="154">
        <f t="shared" si="22"/>
        <v>0</v>
      </c>
    </row>
    <row r="185" spans="1:7" ht="12.75" customHeight="1">
      <c r="A185" s="48"/>
      <c r="B185" s="72" t="s">
        <v>51</v>
      </c>
      <c r="C185" s="134" t="s">
        <v>16</v>
      </c>
      <c r="D185" s="130" t="s">
        <v>164</v>
      </c>
      <c r="E185" s="130">
        <f>28*0.5</f>
        <v>14</v>
      </c>
      <c r="F185" s="160"/>
      <c r="G185" s="154">
        <f t="shared" si="22"/>
        <v>0</v>
      </c>
    </row>
    <row r="186" spans="1:7" ht="12.75" customHeight="1">
      <c r="A186" s="48"/>
      <c r="B186" s="72" t="s">
        <v>52</v>
      </c>
      <c r="C186" s="134" t="s">
        <v>16</v>
      </c>
      <c r="D186" s="130" t="s">
        <v>165</v>
      </c>
      <c r="E186" s="130">
        <f>34*0.5</f>
        <v>17</v>
      </c>
      <c r="F186" s="160"/>
      <c r="G186" s="154">
        <f t="shared" si="22"/>
        <v>0</v>
      </c>
    </row>
    <row r="187" spans="1:7" ht="12.75" customHeight="1">
      <c r="A187" s="48"/>
      <c r="B187" s="53"/>
      <c r="C187" s="136"/>
      <c r="D187" s="161"/>
      <c r="E187" s="161"/>
      <c r="F187" s="162"/>
      <c r="G187" s="163"/>
    </row>
    <row r="188" spans="1:7" ht="140.25">
      <c r="A188" s="48">
        <f>+A174+1</f>
        <v>14</v>
      </c>
      <c r="B188" s="69" t="s">
        <v>420</v>
      </c>
      <c r="C188" s="134"/>
      <c r="D188" s="155"/>
      <c r="E188" s="161"/>
      <c r="F188" s="160"/>
      <c r="G188" s="154"/>
    </row>
    <row r="189" spans="1:7" ht="12.75" customHeight="1">
      <c r="A189" s="48"/>
      <c r="B189" s="72" t="s">
        <v>32</v>
      </c>
      <c r="C189" s="134" t="s">
        <v>16</v>
      </c>
      <c r="D189" s="155">
        <f>758*2.33+41*1.5</f>
        <v>1827.64</v>
      </c>
      <c r="E189" s="155">
        <f>+D189</f>
        <v>1827.64</v>
      </c>
      <c r="F189" s="160"/>
      <c r="G189" s="154">
        <f>E189*F189</f>
        <v>0</v>
      </c>
    </row>
    <row r="190" spans="1:7" ht="12.75" customHeight="1">
      <c r="A190" s="48"/>
      <c r="B190" s="72" t="s">
        <v>33</v>
      </c>
      <c r="C190" s="134" t="s">
        <v>16</v>
      </c>
      <c r="D190" s="155">
        <f>+(79*1.43+164*1.43+5*1.5)</f>
        <v>354.99</v>
      </c>
      <c r="E190" s="155">
        <f t="shared" ref="E190:E200" si="23">+D190</f>
        <v>354.99</v>
      </c>
      <c r="F190" s="160"/>
      <c r="G190" s="154">
        <f t="shared" ref="G190:G200" si="24">E190*F190</f>
        <v>0</v>
      </c>
    </row>
    <row r="191" spans="1:7" ht="12.75" customHeight="1">
      <c r="A191" s="48"/>
      <c r="B191" s="72" t="s">
        <v>34</v>
      </c>
      <c r="C191" s="134" t="s">
        <v>16</v>
      </c>
      <c r="D191" s="155">
        <f>135*1.52+6*1.5</f>
        <v>214.2</v>
      </c>
      <c r="E191" s="155">
        <f t="shared" si="23"/>
        <v>214.2</v>
      </c>
      <c r="F191" s="160"/>
      <c r="G191" s="154">
        <f t="shared" si="24"/>
        <v>0</v>
      </c>
    </row>
    <row r="192" spans="1:7" ht="12.75" customHeight="1">
      <c r="A192" s="48"/>
      <c r="B192" s="72" t="s">
        <v>35</v>
      </c>
      <c r="C192" s="134" t="s">
        <v>16</v>
      </c>
      <c r="D192" s="155">
        <f>38*1.52</f>
        <v>57.76</v>
      </c>
      <c r="E192" s="155">
        <f t="shared" si="23"/>
        <v>57.76</v>
      </c>
      <c r="F192" s="160"/>
      <c r="G192" s="154">
        <f t="shared" si="24"/>
        <v>0</v>
      </c>
    </row>
    <row r="193" spans="1:7" ht="12.75" customHeight="1">
      <c r="A193" s="48"/>
      <c r="B193" s="72" t="s">
        <v>36</v>
      </c>
      <c r="C193" s="134" t="s">
        <v>16</v>
      </c>
      <c r="D193" s="155">
        <f>73*2.33+6*1.5</f>
        <v>179.09</v>
      </c>
      <c r="E193" s="155">
        <f t="shared" si="23"/>
        <v>179.09</v>
      </c>
      <c r="F193" s="160"/>
      <c r="G193" s="154">
        <f t="shared" si="24"/>
        <v>0</v>
      </c>
    </row>
    <row r="194" spans="1:7" ht="12.75" customHeight="1">
      <c r="A194" s="48"/>
      <c r="B194" s="72" t="s">
        <v>37</v>
      </c>
      <c r="C194" s="134" t="s">
        <v>16</v>
      </c>
      <c r="D194" s="155">
        <f>55*2.33+4*1.5</f>
        <v>134.15</v>
      </c>
      <c r="E194" s="155">
        <f t="shared" si="23"/>
        <v>134.15</v>
      </c>
      <c r="F194" s="160"/>
      <c r="G194" s="154">
        <f t="shared" si="24"/>
        <v>0</v>
      </c>
    </row>
    <row r="195" spans="1:7" ht="12.75" customHeight="1">
      <c r="A195" s="48"/>
      <c r="B195" s="72" t="s">
        <v>47</v>
      </c>
      <c r="C195" s="134" t="s">
        <v>16</v>
      </c>
      <c r="D195" s="155">
        <f>236*2.12+13*1.5</f>
        <v>519.82000000000005</v>
      </c>
      <c r="E195" s="155">
        <f t="shared" si="23"/>
        <v>519.82000000000005</v>
      </c>
      <c r="F195" s="160"/>
      <c r="G195" s="154">
        <f t="shared" si="24"/>
        <v>0</v>
      </c>
    </row>
    <row r="196" spans="1:7" ht="12.75" customHeight="1">
      <c r="A196" s="48"/>
      <c r="B196" s="72" t="s">
        <v>49</v>
      </c>
      <c r="C196" s="134" t="s">
        <v>16</v>
      </c>
      <c r="D196" s="155">
        <f>99*1.16+7*1.5</f>
        <v>125.33999999999999</v>
      </c>
      <c r="E196" s="155">
        <f t="shared" si="23"/>
        <v>125.33999999999999</v>
      </c>
      <c r="F196" s="160"/>
      <c r="G196" s="154">
        <f t="shared" si="24"/>
        <v>0</v>
      </c>
    </row>
    <row r="197" spans="1:7" ht="12.75" customHeight="1">
      <c r="A197" s="48"/>
      <c r="B197" s="72" t="s">
        <v>48</v>
      </c>
      <c r="C197" s="134" t="s">
        <v>16</v>
      </c>
      <c r="D197" s="155">
        <f>86*1.71+5*1.5</f>
        <v>154.56</v>
      </c>
      <c r="E197" s="155">
        <f t="shared" si="23"/>
        <v>154.56</v>
      </c>
      <c r="F197" s="160"/>
      <c r="G197" s="154">
        <f t="shared" si="24"/>
        <v>0</v>
      </c>
    </row>
    <row r="198" spans="1:7" ht="12.75" customHeight="1">
      <c r="A198" s="48"/>
      <c r="B198" s="72" t="s">
        <v>50</v>
      </c>
      <c r="C198" s="134" t="s">
        <v>16</v>
      </c>
      <c r="D198" s="155">
        <f>201*3.01+81*1.02+14*1.5</f>
        <v>708.63</v>
      </c>
      <c r="E198" s="155">
        <f t="shared" si="23"/>
        <v>708.63</v>
      </c>
      <c r="F198" s="160"/>
      <c r="G198" s="154">
        <f t="shared" si="24"/>
        <v>0</v>
      </c>
    </row>
    <row r="199" spans="1:7" ht="12.75" customHeight="1">
      <c r="A199" s="48"/>
      <c r="B199" s="72" t="s">
        <v>51</v>
      </c>
      <c r="C199" s="134" t="s">
        <v>16</v>
      </c>
      <c r="D199" s="155">
        <f>73*1.71+3*1.5</f>
        <v>129.32999999999998</v>
      </c>
      <c r="E199" s="155">
        <f t="shared" si="23"/>
        <v>129.32999999999998</v>
      </c>
      <c r="F199" s="160"/>
      <c r="G199" s="154">
        <f t="shared" si="24"/>
        <v>0</v>
      </c>
    </row>
    <row r="200" spans="1:7" ht="12.75" customHeight="1">
      <c r="A200" s="48"/>
      <c r="B200" s="72" t="s">
        <v>52</v>
      </c>
      <c r="C200" s="137" t="s">
        <v>17</v>
      </c>
      <c r="D200" s="155">
        <f>158*1.71+10*1.5</f>
        <v>285.18</v>
      </c>
      <c r="E200" s="155">
        <f t="shared" si="23"/>
        <v>285.18</v>
      </c>
      <c r="F200" s="160"/>
      <c r="G200" s="154">
        <f t="shared" si="24"/>
        <v>0</v>
      </c>
    </row>
    <row r="201" spans="1:7" ht="12.75" customHeight="1">
      <c r="A201" s="48"/>
      <c r="B201" s="56"/>
      <c r="C201" s="137"/>
      <c r="D201" s="164"/>
      <c r="E201" s="164"/>
      <c r="F201" s="165"/>
      <c r="G201" s="147"/>
    </row>
    <row r="202" spans="1:7" ht="102">
      <c r="A202" s="48">
        <f>+A188+1</f>
        <v>15</v>
      </c>
      <c r="B202" s="20" t="s">
        <v>421</v>
      </c>
      <c r="C202" s="131"/>
      <c r="D202" s="155"/>
      <c r="E202" s="155"/>
      <c r="F202" s="171"/>
      <c r="G202" s="144"/>
    </row>
    <row r="203" spans="1:7" ht="12.75" customHeight="1">
      <c r="A203" s="48"/>
      <c r="B203" s="72" t="s">
        <v>32</v>
      </c>
      <c r="C203" s="131" t="s">
        <v>16</v>
      </c>
      <c r="D203" s="155">
        <f t="shared" ref="D203:D214" si="25">+(E49+E35+E21+E8)-E189</f>
        <v>988.49999999999977</v>
      </c>
      <c r="E203" s="155">
        <f>+D203</f>
        <v>988.49999999999977</v>
      </c>
      <c r="F203" s="171"/>
      <c r="G203" s="144">
        <f t="shared" ref="G203:G214" si="26">+E203*F203</f>
        <v>0</v>
      </c>
    </row>
    <row r="204" spans="1:7" ht="12.75" customHeight="1">
      <c r="A204" s="48"/>
      <c r="B204" s="72" t="s">
        <v>33</v>
      </c>
      <c r="C204" s="131" t="s">
        <v>16</v>
      </c>
      <c r="D204" s="155">
        <f t="shared" si="25"/>
        <v>253.28999999999996</v>
      </c>
      <c r="E204" s="155">
        <f t="shared" ref="E204:E214" si="27">+D204</f>
        <v>253.28999999999996</v>
      </c>
      <c r="F204" s="171"/>
      <c r="G204" s="144">
        <f t="shared" si="26"/>
        <v>0</v>
      </c>
    </row>
    <row r="205" spans="1:7" ht="12.75" customHeight="1">
      <c r="A205" s="48"/>
      <c r="B205" s="72" t="s">
        <v>34</v>
      </c>
      <c r="C205" s="131" t="s">
        <v>16</v>
      </c>
      <c r="D205" s="155">
        <f t="shared" si="25"/>
        <v>163.95</v>
      </c>
      <c r="E205" s="155">
        <f t="shared" si="27"/>
        <v>163.95</v>
      </c>
      <c r="F205" s="171"/>
      <c r="G205" s="144">
        <f t="shared" si="26"/>
        <v>0</v>
      </c>
    </row>
    <row r="206" spans="1:7" ht="12.75" customHeight="1">
      <c r="A206" s="48"/>
      <c r="B206" s="72" t="s">
        <v>35</v>
      </c>
      <c r="C206" s="131" t="s">
        <v>16</v>
      </c>
      <c r="D206" s="155">
        <f t="shared" si="25"/>
        <v>44.46</v>
      </c>
      <c r="E206" s="155">
        <f t="shared" si="27"/>
        <v>44.46</v>
      </c>
      <c r="F206" s="171"/>
      <c r="G206" s="144">
        <f t="shared" si="26"/>
        <v>0</v>
      </c>
    </row>
    <row r="207" spans="1:7" ht="12.75" customHeight="1">
      <c r="A207" s="48"/>
      <c r="B207" s="72" t="s">
        <v>36</v>
      </c>
      <c r="C207" s="131" t="s">
        <v>16</v>
      </c>
      <c r="D207" s="155">
        <f t="shared" si="25"/>
        <v>97.250000000000028</v>
      </c>
      <c r="E207" s="155">
        <f t="shared" si="27"/>
        <v>97.250000000000028</v>
      </c>
      <c r="F207" s="171"/>
      <c r="G207" s="144">
        <f t="shared" si="26"/>
        <v>0</v>
      </c>
    </row>
    <row r="208" spans="1:7" ht="12.75" customHeight="1">
      <c r="A208" s="48"/>
      <c r="B208" s="72" t="s">
        <v>37</v>
      </c>
      <c r="C208" s="131" t="s">
        <v>16</v>
      </c>
      <c r="D208" s="155">
        <f t="shared" si="25"/>
        <v>72.749999999999972</v>
      </c>
      <c r="E208" s="155">
        <f t="shared" si="27"/>
        <v>72.749999999999972</v>
      </c>
      <c r="F208" s="171"/>
      <c r="G208" s="144">
        <f t="shared" si="26"/>
        <v>0</v>
      </c>
    </row>
    <row r="209" spans="1:7" ht="12.75" customHeight="1">
      <c r="A209" s="48"/>
      <c r="B209" s="72" t="s">
        <v>47</v>
      </c>
      <c r="C209" s="131" t="s">
        <v>16</v>
      </c>
      <c r="D209" s="155">
        <f t="shared" si="25"/>
        <v>300.91999999999996</v>
      </c>
      <c r="E209" s="155">
        <f t="shared" si="27"/>
        <v>300.91999999999996</v>
      </c>
      <c r="F209" s="171"/>
      <c r="G209" s="144">
        <f t="shared" si="26"/>
        <v>0</v>
      </c>
    </row>
    <row r="210" spans="1:7" ht="12.75" customHeight="1">
      <c r="A210" s="48"/>
      <c r="B210" s="72" t="s">
        <v>49</v>
      </c>
      <c r="C210" s="131" t="s">
        <v>16</v>
      </c>
      <c r="D210" s="155">
        <f t="shared" si="25"/>
        <v>117.87999999999998</v>
      </c>
      <c r="E210" s="155">
        <f t="shared" si="27"/>
        <v>117.87999999999998</v>
      </c>
      <c r="F210" s="171"/>
      <c r="G210" s="144">
        <f t="shared" si="26"/>
        <v>0</v>
      </c>
    </row>
    <row r="211" spans="1:7" ht="12.75" customHeight="1">
      <c r="A211" s="48"/>
      <c r="B211" s="72" t="s">
        <v>48</v>
      </c>
      <c r="C211" s="131" t="s">
        <v>16</v>
      </c>
      <c r="D211" s="155">
        <f t="shared" si="25"/>
        <v>107.33999999999997</v>
      </c>
      <c r="E211" s="155">
        <f t="shared" si="27"/>
        <v>107.33999999999997</v>
      </c>
      <c r="F211" s="171"/>
      <c r="G211" s="144">
        <f t="shared" si="26"/>
        <v>0</v>
      </c>
    </row>
    <row r="212" spans="1:7" ht="12.75" customHeight="1">
      <c r="A212" s="48"/>
      <c r="B212" s="72" t="s">
        <v>50</v>
      </c>
      <c r="C212" s="131" t="s">
        <v>16</v>
      </c>
      <c r="D212" s="155">
        <f t="shared" si="25"/>
        <v>348.19999999999993</v>
      </c>
      <c r="E212" s="155">
        <f t="shared" si="27"/>
        <v>348.19999999999993</v>
      </c>
      <c r="F212" s="171"/>
      <c r="G212" s="144">
        <f t="shared" si="26"/>
        <v>0</v>
      </c>
    </row>
    <row r="213" spans="1:7" ht="12.75" customHeight="1">
      <c r="A213" s="48"/>
      <c r="B213" s="72" t="s">
        <v>51</v>
      </c>
      <c r="C213" s="131" t="s">
        <v>16</v>
      </c>
      <c r="D213" s="155">
        <f t="shared" si="25"/>
        <v>89.87</v>
      </c>
      <c r="E213" s="155">
        <f t="shared" si="27"/>
        <v>89.87</v>
      </c>
      <c r="F213" s="171"/>
      <c r="G213" s="144">
        <f t="shared" si="26"/>
        <v>0</v>
      </c>
    </row>
    <row r="214" spans="1:7" ht="12.75" customHeight="1">
      <c r="A214" s="48"/>
      <c r="B214" s="72" t="s">
        <v>52</v>
      </c>
      <c r="C214" s="131" t="s">
        <v>16</v>
      </c>
      <c r="D214" s="155">
        <f t="shared" si="25"/>
        <v>250.15999999999991</v>
      </c>
      <c r="E214" s="155">
        <f t="shared" si="27"/>
        <v>250.15999999999991</v>
      </c>
      <c r="F214" s="171"/>
      <c r="G214" s="144">
        <f t="shared" si="26"/>
        <v>0</v>
      </c>
    </row>
    <row r="215" spans="1:7" ht="12.75" customHeight="1">
      <c r="A215" s="48"/>
      <c r="B215" s="72"/>
      <c r="C215" s="131"/>
      <c r="D215" s="155"/>
      <c r="E215" s="155"/>
      <c r="F215" s="171"/>
      <c r="G215" s="144"/>
    </row>
    <row r="216" spans="1:7" ht="12.75" customHeight="1">
      <c r="A216" s="48"/>
      <c r="B216" s="56"/>
      <c r="C216" s="137"/>
      <c r="D216" s="164"/>
      <c r="E216" s="164"/>
      <c r="F216" s="165"/>
      <c r="G216" s="147"/>
    </row>
    <row r="217" spans="1:7" ht="12.75" customHeight="1">
      <c r="A217" s="48"/>
      <c r="B217" s="56" t="s">
        <v>366</v>
      </c>
      <c r="C217" s="137"/>
      <c r="D217" s="164"/>
      <c r="E217" s="217" t="s">
        <v>32</v>
      </c>
      <c r="F217" s="176"/>
      <c r="G217" s="147">
        <f t="shared" ref="G217:G228" si="28">+G203+G189+G175+G161+G147+G133+G119+G105+G91+G77+G63+G49+G35+G21+G8</f>
        <v>0</v>
      </c>
    </row>
    <row r="218" spans="1:7" ht="12.75" customHeight="1">
      <c r="A218" s="48"/>
      <c r="B218" s="56"/>
      <c r="C218" s="137"/>
      <c r="D218" s="164"/>
      <c r="E218" s="217" t="s">
        <v>33</v>
      </c>
      <c r="F218" s="176"/>
      <c r="G218" s="147">
        <f t="shared" si="28"/>
        <v>0</v>
      </c>
    </row>
    <row r="219" spans="1:7" ht="12.75" customHeight="1">
      <c r="A219" s="48"/>
      <c r="B219" s="56"/>
      <c r="C219" s="137"/>
      <c r="D219" s="164"/>
      <c r="E219" s="217" t="s">
        <v>34</v>
      </c>
      <c r="F219" s="176"/>
      <c r="G219" s="147">
        <f t="shared" si="28"/>
        <v>0</v>
      </c>
    </row>
    <row r="220" spans="1:7" ht="12.75" customHeight="1">
      <c r="A220" s="48"/>
      <c r="B220" s="56"/>
      <c r="C220" s="137"/>
      <c r="D220" s="164"/>
      <c r="E220" s="217" t="s">
        <v>35</v>
      </c>
      <c r="F220" s="176"/>
      <c r="G220" s="147">
        <f t="shared" si="28"/>
        <v>0</v>
      </c>
    </row>
    <row r="221" spans="1:7" ht="12.75" customHeight="1">
      <c r="A221" s="48"/>
      <c r="B221" s="56"/>
      <c r="C221" s="137"/>
      <c r="D221" s="164"/>
      <c r="E221" s="217" t="s">
        <v>36</v>
      </c>
      <c r="F221" s="176"/>
      <c r="G221" s="147">
        <f t="shared" si="28"/>
        <v>0</v>
      </c>
    </row>
    <row r="222" spans="1:7" ht="12.75" customHeight="1">
      <c r="A222" s="48"/>
      <c r="B222" s="56"/>
      <c r="C222" s="137"/>
      <c r="D222" s="164"/>
      <c r="E222" s="217" t="s">
        <v>37</v>
      </c>
      <c r="F222" s="176"/>
      <c r="G222" s="147">
        <f t="shared" si="28"/>
        <v>0</v>
      </c>
    </row>
    <row r="223" spans="1:7" ht="12.75" customHeight="1">
      <c r="A223" s="48"/>
      <c r="B223" s="56"/>
      <c r="C223" s="137"/>
      <c r="D223" s="164"/>
      <c r="E223" s="217" t="s">
        <v>47</v>
      </c>
      <c r="F223" s="176"/>
      <c r="G223" s="147">
        <f t="shared" si="28"/>
        <v>0</v>
      </c>
    </row>
    <row r="224" spans="1:7" ht="12.75" customHeight="1">
      <c r="A224" s="48"/>
      <c r="B224" s="56"/>
      <c r="C224" s="137"/>
      <c r="D224" s="164"/>
      <c r="E224" s="217" t="s">
        <v>49</v>
      </c>
      <c r="F224" s="176"/>
      <c r="G224" s="147">
        <f t="shared" si="28"/>
        <v>0</v>
      </c>
    </row>
    <row r="225" spans="1:7" ht="12.75" customHeight="1">
      <c r="A225" s="48"/>
      <c r="B225" s="56"/>
      <c r="C225" s="137"/>
      <c r="D225" s="164"/>
      <c r="E225" s="217" t="s">
        <v>48</v>
      </c>
      <c r="F225" s="176"/>
      <c r="G225" s="147">
        <f t="shared" si="28"/>
        <v>0</v>
      </c>
    </row>
    <row r="226" spans="1:7" ht="12.75" customHeight="1">
      <c r="A226" s="48"/>
      <c r="B226" s="56"/>
      <c r="C226" s="137"/>
      <c r="D226" s="164"/>
      <c r="E226" s="217" t="s">
        <v>50</v>
      </c>
      <c r="F226" s="176"/>
      <c r="G226" s="147">
        <f t="shared" si="28"/>
        <v>0</v>
      </c>
    </row>
    <row r="227" spans="1:7" ht="12.75" customHeight="1">
      <c r="A227" s="48"/>
      <c r="B227" s="56"/>
      <c r="C227" s="137"/>
      <c r="D227" s="164"/>
      <c r="E227" s="217" t="s">
        <v>51</v>
      </c>
      <c r="F227" s="176"/>
      <c r="G227" s="147">
        <f t="shared" si="28"/>
        <v>0</v>
      </c>
    </row>
    <row r="228" spans="1:7" ht="12.75" customHeight="1">
      <c r="A228" s="48"/>
      <c r="B228" s="56"/>
      <c r="C228" s="137"/>
      <c r="D228" s="164"/>
      <c r="E228" s="217" t="s">
        <v>52</v>
      </c>
      <c r="F228" s="176"/>
      <c r="G228" s="147">
        <f t="shared" si="28"/>
        <v>0</v>
      </c>
    </row>
    <row r="229" spans="1:7" ht="12.75" customHeight="1">
      <c r="A229" s="48"/>
      <c r="B229" s="20"/>
      <c r="C229" s="138"/>
      <c r="D229" s="155"/>
      <c r="E229" s="171"/>
      <c r="F229" s="171"/>
      <c r="G229" s="144"/>
    </row>
    <row r="230" spans="1:7" ht="16.5" thickBot="1">
      <c r="A230" s="318" t="s">
        <v>63</v>
      </c>
      <c r="B230" s="264" t="s">
        <v>77</v>
      </c>
      <c r="C230" s="319"/>
      <c r="D230" s="320"/>
      <c r="E230" s="321"/>
      <c r="F230" s="127" t="s">
        <v>62</v>
      </c>
      <c r="G230" s="127">
        <f>SUM(G217:G228)</f>
        <v>0</v>
      </c>
    </row>
    <row r="231" spans="1:7" ht="12.75" customHeight="1" thickTop="1">
      <c r="A231" s="48"/>
      <c r="B231" s="20"/>
      <c r="C231" s="138"/>
      <c r="D231" s="155"/>
      <c r="E231" s="171"/>
      <c r="F231" s="171"/>
      <c r="G231" s="144"/>
    </row>
    <row r="232" spans="1:7" ht="12.75" customHeight="1">
      <c r="A232" s="48"/>
      <c r="B232" s="20"/>
      <c r="C232" s="138"/>
      <c r="D232" s="155"/>
      <c r="E232" s="171"/>
      <c r="F232" s="171"/>
      <c r="G232" s="144"/>
    </row>
    <row r="233" spans="1:7" ht="12.75" customHeight="1">
      <c r="A233" s="48"/>
      <c r="B233" s="59"/>
      <c r="C233" s="131"/>
      <c r="D233" s="155"/>
      <c r="E233" s="171"/>
      <c r="F233" s="171"/>
      <c r="G233" s="144"/>
    </row>
    <row r="234" spans="1:7" ht="12.75" customHeight="1">
      <c r="A234" s="48"/>
      <c r="B234" s="52"/>
      <c r="C234" s="131"/>
      <c r="D234" s="155"/>
      <c r="E234" s="171"/>
      <c r="F234" s="171"/>
      <c r="G234" s="144"/>
    </row>
    <row r="235" spans="1:7" ht="12.75" customHeight="1">
      <c r="A235" s="48"/>
      <c r="B235" s="52"/>
      <c r="C235" s="131"/>
      <c r="D235" s="155"/>
      <c r="E235" s="171"/>
      <c r="F235" s="171"/>
      <c r="G235" s="144"/>
    </row>
    <row r="237" spans="1:7" ht="12.75" customHeight="1">
      <c r="B237" s="69"/>
      <c r="C237" s="134"/>
      <c r="D237" s="130"/>
      <c r="E237" s="130"/>
      <c r="F237" s="160"/>
      <c r="G237" s="154"/>
    </row>
    <row r="239" spans="1:7" ht="12.75" customHeight="1">
      <c r="B239" s="64"/>
      <c r="C239" s="139"/>
      <c r="D239" s="166"/>
      <c r="E239" s="166"/>
      <c r="F239" s="167"/>
      <c r="G239" s="147"/>
    </row>
  </sheetData>
  <conditionalFormatting sqref="F8:F215">
    <cfRule type="cellIs" dxfId="13" priority="1" operator="equal">
      <formula>0</formula>
    </cfRule>
  </conditionalFormatting>
  <pageMargins left="0.78740157480314965" right="0.19685039370078741" top="0.19685039370078741" bottom="0.19685039370078741" header="0" footer="0.19685039370078741"/>
  <pageSetup paperSize="9" orientation="portrait" r:id="rId1"/>
  <headerFooter>
    <oddFooter>Stran &amp;P</oddFooter>
  </headerFooter>
  <ignoredErrors>
    <ignoredError sqref="E114 E18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G157"/>
  <sheetViews>
    <sheetView showZeros="0" topLeftCell="A100" workbookViewId="0">
      <selection activeCell="F128" sqref="F128:G128"/>
    </sheetView>
  </sheetViews>
  <sheetFormatPr defaultRowHeight="12.75" customHeight="1"/>
  <cols>
    <col min="1" max="1" width="4.7109375" style="79" customWidth="1"/>
    <col min="2" max="2" width="30.7109375" style="79" customWidth="1"/>
    <col min="3" max="3" width="4.7109375" style="177" customWidth="1"/>
    <col min="4" max="4" width="13.7109375" style="140" customWidth="1"/>
    <col min="5" max="6" width="12.7109375" style="140" customWidth="1"/>
    <col min="7" max="7" width="12.7109375" style="141" customWidth="1"/>
    <col min="242" max="242" width="4.7109375" customWidth="1"/>
    <col min="243" max="243" width="30.7109375" customWidth="1"/>
    <col min="244" max="244" width="4.7109375" customWidth="1"/>
    <col min="245" max="245" width="13.7109375" customWidth="1"/>
    <col min="246" max="248" width="12.7109375" customWidth="1"/>
    <col min="250" max="250" width="21" customWidth="1"/>
    <col min="251" max="251" width="36.5703125" customWidth="1"/>
    <col min="498" max="498" width="4.7109375" customWidth="1"/>
    <col min="499" max="499" width="30.7109375" customWidth="1"/>
    <col min="500" max="500" width="4.7109375" customWidth="1"/>
    <col min="501" max="501" width="13.7109375" customWidth="1"/>
    <col min="502" max="504" width="12.7109375" customWidth="1"/>
    <col min="506" max="506" width="21" customWidth="1"/>
    <col min="507" max="507" width="36.5703125" customWidth="1"/>
    <col min="754" max="754" width="4.7109375" customWidth="1"/>
    <col min="755" max="755" width="30.7109375" customWidth="1"/>
    <col min="756" max="756" width="4.7109375" customWidth="1"/>
    <col min="757" max="757" width="13.7109375" customWidth="1"/>
    <col min="758" max="760" width="12.7109375" customWidth="1"/>
    <col min="762" max="762" width="21" customWidth="1"/>
    <col min="763" max="763" width="36.5703125" customWidth="1"/>
    <col min="1010" max="1010" width="4.7109375" customWidth="1"/>
    <col min="1011" max="1011" width="30.7109375" customWidth="1"/>
    <col min="1012" max="1012" width="4.7109375" customWidth="1"/>
    <col min="1013" max="1013" width="13.7109375" customWidth="1"/>
    <col min="1014" max="1016" width="12.7109375" customWidth="1"/>
    <col min="1018" max="1018" width="21" customWidth="1"/>
    <col min="1019" max="1019" width="36.5703125" customWidth="1"/>
    <col min="1266" max="1266" width="4.7109375" customWidth="1"/>
    <col min="1267" max="1267" width="30.7109375" customWidth="1"/>
    <col min="1268" max="1268" width="4.7109375" customWidth="1"/>
    <col min="1269" max="1269" width="13.7109375" customWidth="1"/>
    <col min="1270" max="1272" width="12.7109375" customWidth="1"/>
    <col min="1274" max="1274" width="21" customWidth="1"/>
    <col min="1275" max="1275" width="36.5703125" customWidth="1"/>
    <col min="1522" max="1522" width="4.7109375" customWidth="1"/>
    <col min="1523" max="1523" width="30.7109375" customWidth="1"/>
    <col min="1524" max="1524" width="4.7109375" customWidth="1"/>
    <col min="1525" max="1525" width="13.7109375" customWidth="1"/>
    <col min="1526" max="1528" width="12.7109375" customWidth="1"/>
    <col min="1530" max="1530" width="21" customWidth="1"/>
    <col min="1531" max="1531" width="36.5703125" customWidth="1"/>
    <col min="1778" max="1778" width="4.7109375" customWidth="1"/>
    <col min="1779" max="1779" width="30.7109375" customWidth="1"/>
    <col min="1780" max="1780" width="4.7109375" customWidth="1"/>
    <col min="1781" max="1781" width="13.7109375" customWidth="1"/>
    <col min="1782" max="1784" width="12.7109375" customWidth="1"/>
    <col min="1786" max="1786" width="21" customWidth="1"/>
    <col min="1787" max="1787" width="36.5703125" customWidth="1"/>
    <col min="2034" max="2034" width="4.7109375" customWidth="1"/>
    <col min="2035" max="2035" width="30.7109375" customWidth="1"/>
    <col min="2036" max="2036" width="4.7109375" customWidth="1"/>
    <col min="2037" max="2037" width="13.7109375" customWidth="1"/>
    <col min="2038" max="2040" width="12.7109375" customWidth="1"/>
    <col min="2042" max="2042" width="21" customWidth="1"/>
    <col min="2043" max="2043" width="36.5703125" customWidth="1"/>
    <col min="2290" max="2290" width="4.7109375" customWidth="1"/>
    <col min="2291" max="2291" width="30.7109375" customWidth="1"/>
    <col min="2292" max="2292" width="4.7109375" customWidth="1"/>
    <col min="2293" max="2293" width="13.7109375" customWidth="1"/>
    <col min="2294" max="2296" width="12.7109375" customWidth="1"/>
    <col min="2298" max="2298" width="21" customWidth="1"/>
    <col min="2299" max="2299" width="36.5703125" customWidth="1"/>
    <col min="2546" max="2546" width="4.7109375" customWidth="1"/>
    <col min="2547" max="2547" width="30.7109375" customWidth="1"/>
    <col min="2548" max="2548" width="4.7109375" customWidth="1"/>
    <col min="2549" max="2549" width="13.7109375" customWidth="1"/>
    <col min="2550" max="2552" width="12.7109375" customWidth="1"/>
    <col min="2554" max="2554" width="21" customWidth="1"/>
    <col min="2555" max="2555" width="36.5703125" customWidth="1"/>
    <col min="2802" max="2802" width="4.7109375" customWidth="1"/>
    <col min="2803" max="2803" width="30.7109375" customWidth="1"/>
    <col min="2804" max="2804" width="4.7109375" customWidth="1"/>
    <col min="2805" max="2805" width="13.7109375" customWidth="1"/>
    <col min="2806" max="2808" width="12.7109375" customWidth="1"/>
    <col min="2810" max="2810" width="21" customWidth="1"/>
    <col min="2811" max="2811" width="36.5703125" customWidth="1"/>
    <col min="3058" max="3058" width="4.7109375" customWidth="1"/>
    <col min="3059" max="3059" width="30.7109375" customWidth="1"/>
    <col min="3060" max="3060" width="4.7109375" customWidth="1"/>
    <col min="3061" max="3061" width="13.7109375" customWidth="1"/>
    <col min="3062" max="3064" width="12.7109375" customWidth="1"/>
    <col min="3066" max="3066" width="21" customWidth="1"/>
    <col min="3067" max="3067" width="36.5703125" customWidth="1"/>
    <col min="3314" max="3314" width="4.7109375" customWidth="1"/>
    <col min="3315" max="3315" width="30.7109375" customWidth="1"/>
    <col min="3316" max="3316" width="4.7109375" customWidth="1"/>
    <col min="3317" max="3317" width="13.7109375" customWidth="1"/>
    <col min="3318" max="3320" width="12.7109375" customWidth="1"/>
    <col min="3322" max="3322" width="21" customWidth="1"/>
    <col min="3323" max="3323" width="36.5703125" customWidth="1"/>
    <col min="3570" max="3570" width="4.7109375" customWidth="1"/>
    <col min="3571" max="3571" width="30.7109375" customWidth="1"/>
    <col min="3572" max="3572" width="4.7109375" customWidth="1"/>
    <col min="3573" max="3573" width="13.7109375" customWidth="1"/>
    <col min="3574" max="3576" width="12.7109375" customWidth="1"/>
    <col min="3578" max="3578" width="21" customWidth="1"/>
    <col min="3579" max="3579" width="36.5703125" customWidth="1"/>
    <col min="3826" max="3826" width="4.7109375" customWidth="1"/>
    <col min="3827" max="3827" width="30.7109375" customWidth="1"/>
    <col min="3828" max="3828" width="4.7109375" customWidth="1"/>
    <col min="3829" max="3829" width="13.7109375" customWidth="1"/>
    <col min="3830" max="3832" width="12.7109375" customWidth="1"/>
    <col min="3834" max="3834" width="21" customWidth="1"/>
    <col min="3835" max="3835" width="36.5703125" customWidth="1"/>
    <col min="4082" max="4082" width="4.7109375" customWidth="1"/>
    <col min="4083" max="4083" width="30.7109375" customWidth="1"/>
    <col min="4084" max="4084" width="4.7109375" customWidth="1"/>
    <col min="4085" max="4085" width="13.7109375" customWidth="1"/>
    <col min="4086" max="4088" width="12.7109375" customWidth="1"/>
    <col min="4090" max="4090" width="21" customWidth="1"/>
    <col min="4091" max="4091" width="36.5703125" customWidth="1"/>
    <col min="4338" max="4338" width="4.7109375" customWidth="1"/>
    <col min="4339" max="4339" width="30.7109375" customWidth="1"/>
    <col min="4340" max="4340" width="4.7109375" customWidth="1"/>
    <col min="4341" max="4341" width="13.7109375" customWidth="1"/>
    <col min="4342" max="4344" width="12.7109375" customWidth="1"/>
    <col min="4346" max="4346" width="21" customWidth="1"/>
    <col min="4347" max="4347" width="36.5703125" customWidth="1"/>
    <col min="4594" max="4594" width="4.7109375" customWidth="1"/>
    <col min="4595" max="4595" width="30.7109375" customWidth="1"/>
    <col min="4596" max="4596" width="4.7109375" customWidth="1"/>
    <col min="4597" max="4597" width="13.7109375" customWidth="1"/>
    <col min="4598" max="4600" width="12.7109375" customWidth="1"/>
    <col min="4602" max="4602" width="21" customWidth="1"/>
    <col min="4603" max="4603" width="36.5703125" customWidth="1"/>
    <col min="4850" max="4850" width="4.7109375" customWidth="1"/>
    <col min="4851" max="4851" width="30.7109375" customWidth="1"/>
    <col min="4852" max="4852" width="4.7109375" customWidth="1"/>
    <col min="4853" max="4853" width="13.7109375" customWidth="1"/>
    <col min="4854" max="4856" width="12.7109375" customWidth="1"/>
    <col min="4858" max="4858" width="21" customWidth="1"/>
    <col min="4859" max="4859" width="36.5703125" customWidth="1"/>
    <col min="5106" max="5106" width="4.7109375" customWidth="1"/>
    <col min="5107" max="5107" width="30.7109375" customWidth="1"/>
    <col min="5108" max="5108" width="4.7109375" customWidth="1"/>
    <col min="5109" max="5109" width="13.7109375" customWidth="1"/>
    <col min="5110" max="5112" width="12.7109375" customWidth="1"/>
    <col min="5114" max="5114" width="21" customWidth="1"/>
    <col min="5115" max="5115" width="36.5703125" customWidth="1"/>
    <col min="5362" max="5362" width="4.7109375" customWidth="1"/>
    <col min="5363" max="5363" width="30.7109375" customWidth="1"/>
    <col min="5364" max="5364" width="4.7109375" customWidth="1"/>
    <col min="5365" max="5365" width="13.7109375" customWidth="1"/>
    <col min="5366" max="5368" width="12.7109375" customWidth="1"/>
    <col min="5370" max="5370" width="21" customWidth="1"/>
    <col min="5371" max="5371" width="36.5703125" customWidth="1"/>
    <col min="5618" max="5618" width="4.7109375" customWidth="1"/>
    <col min="5619" max="5619" width="30.7109375" customWidth="1"/>
    <col min="5620" max="5620" width="4.7109375" customWidth="1"/>
    <col min="5621" max="5621" width="13.7109375" customWidth="1"/>
    <col min="5622" max="5624" width="12.7109375" customWidth="1"/>
    <col min="5626" max="5626" width="21" customWidth="1"/>
    <col min="5627" max="5627" width="36.5703125" customWidth="1"/>
    <col min="5874" max="5874" width="4.7109375" customWidth="1"/>
    <col min="5875" max="5875" width="30.7109375" customWidth="1"/>
    <col min="5876" max="5876" width="4.7109375" customWidth="1"/>
    <col min="5877" max="5877" width="13.7109375" customWidth="1"/>
    <col min="5878" max="5880" width="12.7109375" customWidth="1"/>
    <col min="5882" max="5882" width="21" customWidth="1"/>
    <col min="5883" max="5883" width="36.5703125" customWidth="1"/>
    <col min="6130" max="6130" width="4.7109375" customWidth="1"/>
    <col min="6131" max="6131" width="30.7109375" customWidth="1"/>
    <col min="6132" max="6132" width="4.7109375" customWidth="1"/>
    <col min="6133" max="6133" width="13.7109375" customWidth="1"/>
    <col min="6134" max="6136" width="12.7109375" customWidth="1"/>
    <col min="6138" max="6138" width="21" customWidth="1"/>
    <col min="6139" max="6139" width="36.5703125" customWidth="1"/>
    <col min="6386" max="6386" width="4.7109375" customWidth="1"/>
    <col min="6387" max="6387" width="30.7109375" customWidth="1"/>
    <col min="6388" max="6388" width="4.7109375" customWidth="1"/>
    <col min="6389" max="6389" width="13.7109375" customWidth="1"/>
    <col min="6390" max="6392" width="12.7109375" customWidth="1"/>
    <col min="6394" max="6394" width="21" customWidth="1"/>
    <col min="6395" max="6395" width="36.5703125" customWidth="1"/>
    <col min="6642" max="6642" width="4.7109375" customWidth="1"/>
    <col min="6643" max="6643" width="30.7109375" customWidth="1"/>
    <col min="6644" max="6644" width="4.7109375" customWidth="1"/>
    <col min="6645" max="6645" width="13.7109375" customWidth="1"/>
    <col min="6646" max="6648" width="12.7109375" customWidth="1"/>
    <col min="6650" max="6650" width="21" customWidth="1"/>
    <col min="6651" max="6651" width="36.5703125" customWidth="1"/>
    <col min="6898" max="6898" width="4.7109375" customWidth="1"/>
    <col min="6899" max="6899" width="30.7109375" customWidth="1"/>
    <col min="6900" max="6900" width="4.7109375" customWidth="1"/>
    <col min="6901" max="6901" width="13.7109375" customWidth="1"/>
    <col min="6902" max="6904" width="12.7109375" customWidth="1"/>
    <col min="6906" max="6906" width="21" customWidth="1"/>
    <col min="6907" max="6907" width="36.5703125" customWidth="1"/>
    <col min="7154" max="7154" width="4.7109375" customWidth="1"/>
    <col min="7155" max="7155" width="30.7109375" customWidth="1"/>
    <col min="7156" max="7156" width="4.7109375" customWidth="1"/>
    <col min="7157" max="7157" width="13.7109375" customWidth="1"/>
    <col min="7158" max="7160" width="12.7109375" customWidth="1"/>
    <col min="7162" max="7162" width="21" customWidth="1"/>
    <col min="7163" max="7163" width="36.5703125" customWidth="1"/>
    <col min="7410" max="7410" width="4.7109375" customWidth="1"/>
    <col min="7411" max="7411" width="30.7109375" customWidth="1"/>
    <col min="7412" max="7412" width="4.7109375" customWidth="1"/>
    <col min="7413" max="7413" width="13.7109375" customWidth="1"/>
    <col min="7414" max="7416" width="12.7109375" customWidth="1"/>
    <col min="7418" max="7418" width="21" customWidth="1"/>
    <col min="7419" max="7419" width="36.5703125" customWidth="1"/>
    <col min="7666" max="7666" width="4.7109375" customWidth="1"/>
    <col min="7667" max="7667" width="30.7109375" customWidth="1"/>
    <col min="7668" max="7668" width="4.7109375" customWidth="1"/>
    <col min="7669" max="7669" width="13.7109375" customWidth="1"/>
    <col min="7670" max="7672" width="12.7109375" customWidth="1"/>
    <col min="7674" max="7674" width="21" customWidth="1"/>
    <col min="7675" max="7675" width="36.5703125" customWidth="1"/>
    <col min="7922" max="7922" width="4.7109375" customWidth="1"/>
    <col min="7923" max="7923" width="30.7109375" customWidth="1"/>
    <col min="7924" max="7924" width="4.7109375" customWidth="1"/>
    <col min="7925" max="7925" width="13.7109375" customWidth="1"/>
    <col min="7926" max="7928" width="12.7109375" customWidth="1"/>
    <col min="7930" max="7930" width="21" customWidth="1"/>
    <col min="7931" max="7931" width="36.5703125" customWidth="1"/>
    <col min="8178" max="8178" width="4.7109375" customWidth="1"/>
    <col min="8179" max="8179" width="30.7109375" customWidth="1"/>
    <col min="8180" max="8180" width="4.7109375" customWidth="1"/>
    <col min="8181" max="8181" width="13.7109375" customWidth="1"/>
    <col min="8182" max="8184" width="12.7109375" customWidth="1"/>
    <col min="8186" max="8186" width="21" customWidth="1"/>
    <col min="8187" max="8187" width="36.5703125" customWidth="1"/>
    <col min="8434" max="8434" width="4.7109375" customWidth="1"/>
    <col min="8435" max="8435" width="30.7109375" customWidth="1"/>
    <col min="8436" max="8436" width="4.7109375" customWidth="1"/>
    <col min="8437" max="8437" width="13.7109375" customWidth="1"/>
    <col min="8438" max="8440" width="12.7109375" customWidth="1"/>
    <col min="8442" max="8442" width="21" customWidth="1"/>
    <col min="8443" max="8443" width="36.5703125" customWidth="1"/>
    <col min="8690" max="8690" width="4.7109375" customWidth="1"/>
    <col min="8691" max="8691" width="30.7109375" customWidth="1"/>
    <col min="8692" max="8692" width="4.7109375" customWidth="1"/>
    <col min="8693" max="8693" width="13.7109375" customWidth="1"/>
    <col min="8694" max="8696" width="12.7109375" customWidth="1"/>
    <col min="8698" max="8698" width="21" customWidth="1"/>
    <col min="8699" max="8699" width="36.5703125" customWidth="1"/>
    <col min="8946" max="8946" width="4.7109375" customWidth="1"/>
    <col min="8947" max="8947" width="30.7109375" customWidth="1"/>
    <col min="8948" max="8948" width="4.7109375" customWidth="1"/>
    <col min="8949" max="8949" width="13.7109375" customWidth="1"/>
    <col min="8950" max="8952" width="12.7109375" customWidth="1"/>
    <col min="8954" max="8954" width="21" customWidth="1"/>
    <col min="8955" max="8955" width="36.5703125" customWidth="1"/>
    <col min="9202" max="9202" width="4.7109375" customWidth="1"/>
    <col min="9203" max="9203" width="30.7109375" customWidth="1"/>
    <col min="9204" max="9204" width="4.7109375" customWidth="1"/>
    <col min="9205" max="9205" width="13.7109375" customWidth="1"/>
    <col min="9206" max="9208" width="12.7109375" customWidth="1"/>
    <col min="9210" max="9210" width="21" customWidth="1"/>
    <col min="9211" max="9211" width="36.5703125" customWidth="1"/>
    <col min="9458" max="9458" width="4.7109375" customWidth="1"/>
    <col min="9459" max="9459" width="30.7109375" customWidth="1"/>
    <col min="9460" max="9460" width="4.7109375" customWidth="1"/>
    <col min="9461" max="9461" width="13.7109375" customWidth="1"/>
    <col min="9462" max="9464" width="12.7109375" customWidth="1"/>
    <col min="9466" max="9466" width="21" customWidth="1"/>
    <col min="9467" max="9467" width="36.5703125" customWidth="1"/>
    <col min="9714" max="9714" width="4.7109375" customWidth="1"/>
    <col min="9715" max="9715" width="30.7109375" customWidth="1"/>
    <col min="9716" max="9716" width="4.7109375" customWidth="1"/>
    <col min="9717" max="9717" width="13.7109375" customWidth="1"/>
    <col min="9718" max="9720" width="12.7109375" customWidth="1"/>
    <col min="9722" max="9722" width="21" customWidth="1"/>
    <col min="9723" max="9723" width="36.5703125" customWidth="1"/>
    <col min="9970" max="9970" width="4.7109375" customWidth="1"/>
    <col min="9971" max="9971" width="30.7109375" customWidth="1"/>
    <col min="9972" max="9972" width="4.7109375" customWidth="1"/>
    <col min="9973" max="9973" width="13.7109375" customWidth="1"/>
    <col min="9974" max="9976" width="12.7109375" customWidth="1"/>
    <col min="9978" max="9978" width="21" customWidth="1"/>
    <col min="9979" max="9979" width="36.5703125" customWidth="1"/>
    <col min="10226" max="10226" width="4.7109375" customWidth="1"/>
    <col min="10227" max="10227" width="30.7109375" customWidth="1"/>
    <col min="10228" max="10228" width="4.7109375" customWidth="1"/>
    <col min="10229" max="10229" width="13.7109375" customWidth="1"/>
    <col min="10230" max="10232" width="12.7109375" customWidth="1"/>
    <col min="10234" max="10234" width="21" customWidth="1"/>
    <col min="10235" max="10235" width="36.5703125" customWidth="1"/>
    <col min="10482" max="10482" width="4.7109375" customWidth="1"/>
    <col min="10483" max="10483" width="30.7109375" customWidth="1"/>
    <col min="10484" max="10484" width="4.7109375" customWidth="1"/>
    <col min="10485" max="10485" width="13.7109375" customWidth="1"/>
    <col min="10486" max="10488" width="12.7109375" customWidth="1"/>
    <col min="10490" max="10490" width="21" customWidth="1"/>
    <col min="10491" max="10491" width="36.5703125" customWidth="1"/>
    <col min="10738" max="10738" width="4.7109375" customWidth="1"/>
    <col min="10739" max="10739" width="30.7109375" customWidth="1"/>
    <col min="10740" max="10740" width="4.7109375" customWidth="1"/>
    <col min="10741" max="10741" width="13.7109375" customWidth="1"/>
    <col min="10742" max="10744" width="12.7109375" customWidth="1"/>
    <col min="10746" max="10746" width="21" customWidth="1"/>
    <col min="10747" max="10747" width="36.5703125" customWidth="1"/>
    <col min="10994" max="10994" width="4.7109375" customWidth="1"/>
    <col min="10995" max="10995" width="30.7109375" customWidth="1"/>
    <col min="10996" max="10996" width="4.7109375" customWidth="1"/>
    <col min="10997" max="10997" width="13.7109375" customWidth="1"/>
    <col min="10998" max="11000" width="12.7109375" customWidth="1"/>
    <col min="11002" max="11002" width="21" customWidth="1"/>
    <col min="11003" max="11003" width="36.5703125" customWidth="1"/>
    <col min="11250" max="11250" width="4.7109375" customWidth="1"/>
    <col min="11251" max="11251" width="30.7109375" customWidth="1"/>
    <col min="11252" max="11252" width="4.7109375" customWidth="1"/>
    <col min="11253" max="11253" width="13.7109375" customWidth="1"/>
    <col min="11254" max="11256" width="12.7109375" customWidth="1"/>
    <col min="11258" max="11258" width="21" customWidth="1"/>
    <col min="11259" max="11259" width="36.5703125" customWidth="1"/>
    <col min="11506" max="11506" width="4.7109375" customWidth="1"/>
    <col min="11507" max="11507" width="30.7109375" customWidth="1"/>
    <col min="11508" max="11508" width="4.7109375" customWidth="1"/>
    <col min="11509" max="11509" width="13.7109375" customWidth="1"/>
    <col min="11510" max="11512" width="12.7109375" customWidth="1"/>
    <col min="11514" max="11514" width="21" customWidth="1"/>
    <col min="11515" max="11515" width="36.5703125" customWidth="1"/>
    <col min="11762" max="11762" width="4.7109375" customWidth="1"/>
    <col min="11763" max="11763" width="30.7109375" customWidth="1"/>
    <col min="11764" max="11764" width="4.7109375" customWidth="1"/>
    <col min="11765" max="11765" width="13.7109375" customWidth="1"/>
    <col min="11766" max="11768" width="12.7109375" customWidth="1"/>
    <col min="11770" max="11770" width="21" customWidth="1"/>
    <col min="11771" max="11771" width="36.5703125" customWidth="1"/>
    <col min="12018" max="12018" width="4.7109375" customWidth="1"/>
    <col min="12019" max="12019" width="30.7109375" customWidth="1"/>
    <col min="12020" max="12020" width="4.7109375" customWidth="1"/>
    <col min="12021" max="12021" width="13.7109375" customWidth="1"/>
    <col min="12022" max="12024" width="12.7109375" customWidth="1"/>
    <col min="12026" max="12026" width="21" customWidth="1"/>
    <col min="12027" max="12027" width="36.5703125" customWidth="1"/>
    <col min="12274" max="12274" width="4.7109375" customWidth="1"/>
    <col min="12275" max="12275" width="30.7109375" customWidth="1"/>
    <col min="12276" max="12276" width="4.7109375" customWidth="1"/>
    <col min="12277" max="12277" width="13.7109375" customWidth="1"/>
    <col min="12278" max="12280" width="12.7109375" customWidth="1"/>
    <col min="12282" max="12282" width="21" customWidth="1"/>
    <col min="12283" max="12283" width="36.5703125" customWidth="1"/>
    <col min="12530" max="12530" width="4.7109375" customWidth="1"/>
    <col min="12531" max="12531" width="30.7109375" customWidth="1"/>
    <col min="12532" max="12532" width="4.7109375" customWidth="1"/>
    <col min="12533" max="12533" width="13.7109375" customWidth="1"/>
    <col min="12534" max="12536" width="12.7109375" customWidth="1"/>
    <col min="12538" max="12538" width="21" customWidth="1"/>
    <col min="12539" max="12539" width="36.5703125" customWidth="1"/>
    <col min="12786" max="12786" width="4.7109375" customWidth="1"/>
    <col min="12787" max="12787" width="30.7109375" customWidth="1"/>
    <col min="12788" max="12788" width="4.7109375" customWidth="1"/>
    <col min="12789" max="12789" width="13.7109375" customWidth="1"/>
    <col min="12790" max="12792" width="12.7109375" customWidth="1"/>
    <col min="12794" max="12794" width="21" customWidth="1"/>
    <col min="12795" max="12795" width="36.5703125" customWidth="1"/>
    <col min="13042" max="13042" width="4.7109375" customWidth="1"/>
    <col min="13043" max="13043" width="30.7109375" customWidth="1"/>
    <col min="13044" max="13044" width="4.7109375" customWidth="1"/>
    <col min="13045" max="13045" width="13.7109375" customWidth="1"/>
    <col min="13046" max="13048" width="12.7109375" customWidth="1"/>
    <col min="13050" max="13050" width="21" customWidth="1"/>
    <col min="13051" max="13051" width="36.5703125" customWidth="1"/>
    <col min="13298" max="13298" width="4.7109375" customWidth="1"/>
    <col min="13299" max="13299" width="30.7109375" customWidth="1"/>
    <col min="13300" max="13300" width="4.7109375" customWidth="1"/>
    <col min="13301" max="13301" width="13.7109375" customWidth="1"/>
    <col min="13302" max="13304" width="12.7109375" customWidth="1"/>
    <col min="13306" max="13306" width="21" customWidth="1"/>
    <col min="13307" max="13307" width="36.5703125" customWidth="1"/>
    <col min="13554" max="13554" width="4.7109375" customWidth="1"/>
    <col min="13555" max="13555" width="30.7109375" customWidth="1"/>
    <col min="13556" max="13556" width="4.7109375" customWidth="1"/>
    <col min="13557" max="13557" width="13.7109375" customWidth="1"/>
    <col min="13558" max="13560" width="12.7109375" customWidth="1"/>
    <col min="13562" max="13562" width="21" customWidth="1"/>
    <col min="13563" max="13563" width="36.5703125" customWidth="1"/>
    <col min="13810" max="13810" width="4.7109375" customWidth="1"/>
    <col min="13811" max="13811" width="30.7109375" customWidth="1"/>
    <col min="13812" max="13812" width="4.7109375" customWidth="1"/>
    <col min="13813" max="13813" width="13.7109375" customWidth="1"/>
    <col min="13814" max="13816" width="12.7109375" customWidth="1"/>
    <col min="13818" max="13818" width="21" customWidth="1"/>
    <col min="13819" max="13819" width="36.5703125" customWidth="1"/>
    <col min="14066" max="14066" width="4.7109375" customWidth="1"/>
    <col min="14067" max="14067" width="30.7109375" customWidth="1"/>
    <col min="14068" max="14068" width="4.7109375" customWidth="1"/>
    <col min="14069" max="14069" width="13.7109375" customWidth="1"/>
    <col min="14070" max="14072" width="12.7109375" customWidth="1"/>
    <col min="14074" max="14074" width="21" customWidth="1"/>
    <col min="14075" max="14075" width="36.5703125" customWidth="1"/>
    <col min="14322" max="14322" width="4.7109375" customWidth="1"/>
    <col min="14323" max="14323" width="30.7109375" customWidth="1"/>
    <col min="14324" max="14324" width="4.7109375" customWidth="1"/>
    <col min="14325" max="14325" width="13.7109375" customWidth="1"/>
    <col min="14326" max="14328" width="12.7109375" customWidth="1"/>
    <col min="14330" max="14330" width="21" customWidth="1"/>
    <col min="14331" max="14331" width="36.5703125" customWidth="1"/>
    <col min="14578" max="14578" width="4.7109375" customWidth="1"/>
    <col min="14579" max="14579" width="30.7109375" customWidth="1"/>
    <col min="14580" max="14580" width="4.7109375" customWidth="1"/>
    <col min="14581" max="14581" width="13.7109375" customWidth="1"/>
    <col min="14582" max="14584" width="12.7109375" customWidth="1"/>
    <col min="14586" max="14586" width="21" customWidth="1"/>
    <col min="14587" max="14587" width="36.5703125" customWidth="1"/>
    <col min="14834" max="14834" width="4.7109375" customWidth="1"/>
    <col min="14835" max="14835" width="30.7109375" customWidth="1"/>
    <col min="14836" max="14836" width="4.7109375" customWidth="1"/>
    <col min="14837" max="14837" width="13.7109375" customWidth="1"/>
    <col min="14838" max="14840" width="12.7109375" customWidth="1"/>
    <col min="14842" max="14842" width="21" customWidth="1"/>
    <col min="14843" max="14843" width="36.5703125" customWidth="1"/>
    <col min="15090" max="15090" width="4.7109375" customWidth="1"/>
    <col min="15091" max="15091" width="30.7109375" customWidth="1"/>
    <col min="15092" max="15092" width="4.7109375" customWidth="1"/>
    <col min="15093" max="15093" width="13.7109375" customWidth="1"/>
    <col min="15094" max="15096" width="12.7109375" customWidth="1"/>
    <col min="15098" max="15098" width="21" customWidth="1"/>
    <col min="15099" max="15099" width="36.5703125" customWidth="1"/>
    <col min="15346" max="15346" width="4.7109375" customWidth="1"/>
    <col min="15347" max="15347" width="30.7109375" customWidth="1"/>
    <col min="15348" max="15348" width="4.7109375" customWidth="1"/>
    <col min="15349" max="15349" width="13.7109375" customWidth="1"/>
    <col min="15350" max="15352" width="12.7109375" customWidth="1"/>
    <col min="15354" max="15354" width="21" customWidth="1"/>
    <col min="15355" max="15355" width="36.5703125" customWidth="1"/>
    <col min="15602" max="15602" width="4.7109375" customWidth="1"/>
    <col min="15603" max="15603" width="30.7109375" customWidth="1"/>
    <col min="15604" max="15604" width="4.7109375" customWidth="1"/>
    <col min="15605" max="15605" width="13.7109375" customWidth="1"/>
    <col min="15606" max="15608" width="12.7109375" customWidth="1"/>
    <col min="15610" max="15610" width="21" customWidth="1"/>
    <col min="15611" max="15611" width="36.5703125" customWidth="1"/>
    <col min="15858" max="15858" width="4.7109375" customWidth="1"/>
    <col min="15859" max="15859" width="30.7109375" customWidth="1"/>
    <col min="15860" max="15860" width="4.7109375" customWidth="1"/>
    <col min="15861" max="15861" width="13.7109375" customWidth="1"/>
    <col min="15862" max="15864" width="12.7109375" customWidth="1"/>
    <col min="15866" max="15866" width="21" customWidth="1"/>
    <col min="15867" max="15867" width="36.5703125" customWidth="1"/>
    <col min="16114" max="16114" width="4.7109375" customWidth="1"/>
    <col min="16115" max="16115" width="30.7109375" customWidth="1"/>
    <col min="16116" max="16116" width="4.7109375" customWidth="1"/>
    <col min="16117" max="16117" width="13.7109375" customWidth="1"/>
    <col min="16118" max="16120" width="12.7109375" customWidth="1"/>
    <col min="16122" max="16122" width="21" customWidth="1"/>
    <col min="16123" max="16123" width="36.5703125" customWidth="1"/>
  </cols>
  <sheetData>
    <row r="1" spans="1:7" ht="12.75" customHeight="1">
      <c r="B1" s="104" t="s">
        <v>27</v>
      </c>
    </row>
    <row r="2" spans="1:7" ht="12.75" customHeight="1">
      <c r="B2" s="104" t="s">
        <v>28</v>
      </c>
    </row>
    <row r="3" spans="1:7" ht="12.75" customHeight="1">
      <c r="B3" s="105" t="s">
        <v>29</v>
      </c>
    </row>
    <row r="5" spans="1:7" ht="15.75">
      <c r="A5" s="22" t="s">
        <v>64</v>
      </c>
      <c r="B5" s="23" t="s">
        <v>13</v>
      </c>
      <c r="C5" s="131"/>
      <c r="D5" s="142"/>
      <c r="E5" s="143"/>
      <c r="F5" s="143"/>
      <c r="G5" s="195"/>
    </row>
    <row r="6" spans="1:7" ht="12.75" customHeight="1">
      <c r="A6" s="48"/>
      <c r="B6" s="49"/>
      <c r="C6" s="131"/>
      <c r="D6" s="142"/>
      <c r="E6" s="143"/>
      <c r="F6" s="143"/>
      <c r="G6" s="195"/>
    </row>
    <row r="7" spans="1:7" ht="255">
      <c r="A7" s="48">
        <v>1</v>
      </c>
      <c r="B7" s="20" t="s">
        <v>422</v>
      </c>
      <c r="C7" s="131"/>
      <c r="D7" s="148"/>
      <c r="E7" s="143"/>
      <c r="F7" s="143"/>
      <c r="G7" s="195"/>
    </row>
    <row r="8" spans="1:7" ht="12.75" customHeight="1">
      <c r="A8" s="48"/>
      <c r="B8" s="72" t="s">
        <v>32</v>
      </c>
      <c r="C8" s="131" t="s">
        <v>19</v>
      </c>
      <c r="D8" s="148">
        <v>758</v>
      </c>
      <c r="E8" s="143">
        <f t="shared" ref="E8:E19" si="0">+D8</f>
        <v>758</v>
      </c>
      <c r="F8" s="143"/>
      <c r="G8" s="195">
        <f t="shared" ref="G8:G19" si="1">E8*F8</f>
        <v>0</v>
      </c>
    </row>
    <row r="9" spans="1:7" ht="12.75" customHeight="1">
      <c r="A9" s="48"/>
      <c r="B9" s="72" t="s">
        <v>33</v>
      </c>
      <c r="C9" s="131" t="s">
        <v>19</v>
      </c>
      <c r="D9" s="148">
        <v>79</v>
      </c>
      <c r="E9" s="143">
        <f t="shared" si="0"/>
        <v>79</v>
      </c>
      <c r="F9" s="143"/>
      <c r="G9" s="195">
        <f t="shared" si="1"/>
        <v>0</v>
      </c>
    </row>
    <row r="10" spans="1:7" ht="12.75" customHeight="1">
      <c r="A10" s="48"/>
      <c r="B10" s="72" t="s">
        <v>34</v>
      </c>
      <c r="C10" s="131" t="s">
        <v>19</v>
      </c>
      <c r="D10" s="148">
        <v>135</v>
      </c>
      <c r="E10" s="143">
        <f t="shared" si="0"/>
        <v>135</v>
      </c>
      <c r="F10" s="143"/>
      <c r="G10" s="195">
        <f t="shared" si="1"/>
        <v>0</v>
      </c>
    </row>
    <row r="11" spans="1:7" ht="12.75" customHeight="1">
      <c r="A11" s="48"/>
      <c r="B11" s="72" t="s">
        <v>35</v>
      </c>
      <c r="C11" s="131" t="s">
        <v>19</v>
      </c>
      <c r="D11" s="148">
        <v>38</v>
      </c>
      <c r="E11" s="143">
        <f t="shared" si="0"/>
        <v>38</v>
      </c>
      <c r="F11" s="143"/>
      <c r="G11" s="195">
        <f t="shared" si="1"/>
        <v>0</v>
      </c>
    </row>
    <row r="12" spans="1:7" ht="12.75" customHeight="1">
      <c r="A12" s="48"/>
      <c r="B12" s="72" t="s">
        <v>36</v>
      </c>
      <c r="C12" s="131" t="s">
        <v>19</v>
      </c>
      <c r="D12" s="148">
        <v>73</v>
      </c>
      <c r="E12" s="143">
        <f t="shared" si="0"/>
        <v>73</v>
      </c>
      <c r="F12" s="143"/>
      <c r="G12" s="195">
        <f t="shared" si="1"/>
        <v>0</v>
      </c>
    </row>
    <row r="13" spans="1:7" ht="12.75" customHeight="1">
      <c r="A13" s="48"/>
      <c r="B13" s="72" t="s">
        <v>37</v>
      </c>
      <c r="C13" s="131" t="s">
        <v>19</v>
      </c>
      <c r="D13" s="148">
        <v>55</v>
      </c>
      <c r="E13" s="143">
        <f t="shared" si="0"/>
        <v>55</v>
      </c>
      <c r="F13" s="143"/>
      <c r="G13" s="195">
        <f t="shared" si="1"/>
        <v>0</v>
      </c>
    </row>
    <row r="14" spans="1:7" ht="12.75" customHeight="1">
      <c r="A14" s="48"/>
      <c r="B14" s="72" t="s">
        <v>47</v>
      </c>
      <c r="C14" s="131" t="s">
        <v>19</v>
      </c>
      <c r="D14" s="148">
        <v>236</v>
      </c>
      <c r="E14" s="143">
        <f t="shared" si="0"/>
        <v>236</v>
      </c>
      <c r="F14" s="143"/>
      <c r="G14" s="195">
        <f t="shared" si="1"/>
        <v>0</v>
      </c>
    </row>
    <row r="15" spans="1:7" ht="12.75" customHeight="1">
      <c r="A15" s="48"/>
      <c r="B15" s="72" t="s">
        <v>49</v>
      </c>
      <c r="C15" s="131" t="s">
        <v>19</v>
      </c>
      <c r="D15" s="148">
        <v>99</v>
      </c>
      <c r="E15" s="143">
        <f t="shared" si="0"/>
        <v>99</v>
      </c>
      <c r="F15" s="143"/>
      <c r="G15" s="195">
        <f t="shared" si="1"/>
        <v>0</v>
      </c>
    </row>
    <row r="16" spans="1:7" ht="12.75" customHeight="1">
      <c r="A16" s="48"/>
      <c r="B16" s="72" t="s">
        <v>48</v>
      </c>
      <c r="C16" s="131" t="s">
        <v>19</v>
      </c>
      <c r="D16" s="148">
        <v>86</v>
      </c>
      <c r="E16" s="143">
        <f t="shared" si="0"/>
        <v>86</v>
      </c>
      <c r="F16" s="143"/>
      <c r="G16" s="195">
        <f t="shared" si="1"/>
        <v>0</v>
      </c>
    </row>
    <row r="17" spans="1:7" ht="12.75" customHeight="1">
      <c r="A17" s="48"/>
      <c r="B17" s="72" t="s">
        <v>50</v>
      </c>
      <c r="C17" s="131" t="s">
        <v>19</v>
      </c>
      <c r="D17" s="148">
        <v>201</v>
      </c>
      <c r="E17" s="143">
        <f t="shared" si="0"/>
        <v>201</v>
      </c>
      <c r="F17" s="143"/>
      <c r="G17" s="195">
        <f t="shared" si="1"/>
        <v>0</v>
      </c>
    </row>
    <row r="18" spans="1:7" ht="12.75" customHeight="1">
      <c r="A18" s="48"/>
      <c r="B18" s="72" t="s">
        <v>51</v>
      </c>
      <c r="C18" s="131" t="s">
        <v>19</v>
      </c>
      <c r="D18" s="148">
        <v>73</v>
      </c>
      <c r="E18" s="143">
        <f t="shared" si="0"/>
        <v>73</v>
      </c>
      <c r="F18" s="143"/>
      <c r="G18" s="195">
        <f t="shared" si="1"/>
        <v>0</v>
      </c>
    </row>
    <row r="19" spans="1:7" ht="12.75" customHeight="1">
      <c r="A19" s="48"/>
      <c r="B19" s="72" t="s">
        <v>52</v>
      </c>
      <c r="C19" s="131" t="s">
        <v>19</v>
      </c>
      <c r="D19" s="148">
        <v>158</v>
      </c>
      <c r="E19" s="143">
        <f t="shared" si="0"/>
        <v>158</v>
      </c>
      <c r="F19" s="143"/>
      <c r="G19" s="195">
        <f t="shared" si="1"/>
        <v>0</v>
      </c>
    </row>
    <row r="20" spans="1:7" ht="12.75" customHeight="1">
      <c r="A20" s="48"/>
      <c r="B20" s="72"/>
      <c r="C20" s="131"/>
      <c r="D20" s="148"/>
      <c r="E20" s="143"/>
      <c r="F20" s="143"/>
      <c r="G20" s="195"/>
    </row>
    <row r="21" spans="1:7" ht="169.5" customHeight="1">
      <c r="A21" s="48">
        <f>+A7+1</f>
        <v>2</v>
      </c>
      <c r="B21" s="20" t="s">
        <v>423</v>
      </c>
      <c r="C21" s="131"/>
      <c r="D21" s="148"/>
      <c r="E21" s="143"/>
      <c r="F21" s="143"/>
      <c r="G21" s="195"/>
    </row>
    <row r="22" spans="1:7" ht="12.75" customHeight="1">
      <c r="A22" s="48"/>
      <c r="B22" s="72" t="s">
        <v>32</v>
      </c>
      <c r="C22" s="131" t="s">
        <v>19</v>
      </c>
      <c r="D22" s="148">
        <v>0</v>
      </c>
      <c r="E22" s="143">
        <f>+D22</f>
        <v>0</v>
      </c>
      <c r="F22" s="143"/>
      <c r="G22" s="195">
        <f t="shared" ref="G22" si="2">E22*F22</f>
        <v>0</v>
      </c>
    </row>
    <row r="23" spans="1:7" ht="12.75" customHeight="1">
      <c r="A23" s="48"/>
      <c r="B23" s="72" t="s">
        <v>33</v>
      </c>
      <c r="C23" s="131" t="s">
        <v>19</v>
      </c>
      <c r="D23" s="148">
        <v>164</v>
      </c>
      <c r="E23" s="143">
        <f>+D23</f>
        <v>164</v>
      </c>
      <c r="F23" s="143"/>
      <c r="G23" s="195">
        <f t="shared" ref="G23:G30" si="3">E23*F23</f>
        <v>0</v>
      </c>
    </row>
    <row r="24" spans="1:7" ht="12.75" customHeight="1">
      <c r="A24" s="48"/>
      <c r="B24" s="72" t="s">
        <v>34</v>
      </c>
      <c r="C24" s="131" t="s">
        <v>19</v>
      </c>
      <c r="D24" s="148">
        <v>0</v>
      </c>
      <c r="E24" s="143">
        <f t="shared" ref="E24:E30" si="4">+D24</f>
        <v>0</v>
      </c>
      <c r="F24" s="143"/>
      <c r="G24" s="195">
        <f t="shared" si="3"/>
        <v>0</v>
      </c>
    </row>
    <row r="25" spans="1:7" ht="12.75" customHeight="1">
      <c r="A25" s="48"/>
      <c r="B25" s="72" t="s">
        <v>35</v>
      </c>
      <c r="C25" s="131" t="s">
        <v>19</v>
      </c>
      <c r="D25" s="148">
        <v>0</v>
      </c>
      <c r="E25" s="143">
        <f t="shared" si="4"/>
        <v>0</v>
      </c>
      <c r="F25" s="143"/>
      <c r="G25" s="195">
        <f t="shared" si="3"/>
        <v>0</v>
      </c>
    </row>
    <row r="26" spans="1:7" ht="12.75" customHeight="1">
      <c r="A26" s="48"/>
      <c r="B26" s="72" t="s">
        <v>36</v>
      </c>
      <c r="C26" s="131" t="s">
        <v>19</v>
      </c>
      <c r="D26" s="148">
        <v>0</v>
      </c>
      <c r="E26" s="143">
        <f t="shared" si="4"/>
        <v>0</v>
      </c>
      <c r="F26" s="143"/>
      <c r="G26" s="195">
        <f t="shared" si="3"/>
        <v>0</v>
      </c>
    </row>
    <row r="27" spans="1:7" ht="12.75" customHeight="1">
      <c r="A27" s="48"/>
      <c r="B27" s="72" t="s">
        <v>37</v>
      </c>
      <c r="C27" s="131" t="s">
        <v>19</v>
      </c>
      <c r="D27" s="148">
        <v>0</v>
      </c>
      <c r="E27" s="143">
        <f t="shared" si="4"/>
        <v>0</v>
      </c>
      <c r="F27" s="143"/>
      <c r="G27" s="195">
        <f t="shared" si="3"/>
        <v>0</v>
      </c>
    </row>
    <row r="28" spans="1:7" ht="12.75" customHeight="1">
      <c r="A28" s="48"/>
      <c r="B28" s="72" t="s">
        <v>47</v>
      </c>
      <c r="C28" s="131" t="s">
        <v>19</v>
      </c>
      <c r="D28" s="148">
        <v>0</v>
      </c>
      <c r="E28" s="143">
        <f t="shared" si="4"/>
        <v>0</v>
      </c>
      <c r="F28" s="143"/>
      <c r="G28" s="195">
        <f t="shared" si="3"/>
        <v>0</v>
      </c>
    </row>
    <row r="29" spans="1:7" ht="12.75" customHeight="1">
      <c r="A29" s="48"/>
      <c r="B29" s="72" t="s">
        <v>49</v>
      </c>
      <c r="C29" s="131" t="s">
        <v>19</v>
      </c>
      <c r="D29" s="148">
        <v>0</v>
      </c>
      <c r="E29" s="143">
        <f t="shared" si="4"/>
        <v>0</v>
      </c>
      <c r="F29" s="143"/>
      <c r="G29" s="195">
        <f t="shared" si="3"/>
        <v>0</v>
      </c>
    </row>
    <row r="30" spans="1:7" ht="12.75" customHeight="1">
      <c r="A30" s="48"/>
      <c r="B30" s="72" t="s">
        <v>48</v>
      </c>
      <c r="C30" s="131" t="s">
        <v>19</v>
      </c>
      <c r="D30" s="148">
        <v>0</v>
      </c>
      <c r="E30" s="143">
        <f t="shared" si="4"/>
        <v>0</v>
      </c>
      <c r="F30" s="143"/>
      <c r="G30" s="195">
        <f t="shared" si="3"/>
        <v>0</v>
      </c>
    </row>
    <row r="31" spans="1:7" ht="12.75" customHeight="1">
      <c r="A31" s="48"/>
      <c r="B31" s="72" t="s">
        <v>50</v>
      </c>
      <c r="C31" s="131" t="s">
        <v>19</v>
      </c>
      <c r="D31" s="148">
        <v>81</v>
      </c>
      <c r="E31" s="143">
        <f>+D31</f>
        <v>81</v>
      </c>
      <c r="F31" s="143"/>
      <c r="G31" s="195">
        <f t="shared" ref="G31:G33" si="5">E31*F31</f>
        <v>0</v>
      </c>
    </row>
    <row r="32" spans="1:7" ht="12.75" customHeight="1">
      <c r="A32" s="48"/>
      <c r="B32" s="72" t="s">
        <v>51</v>
      </c>
      <c r="C32" s="131" t="s">
        <v>19</v>
      </c>
      <c r="D32" s="148">
        <v>0</v>
      </c>
      <c r="E32" s="143">
        <f t="shared" ref="E32:E33" si="6">+D32</f>
        <v>0</v>
      </c>
      <c r="F32" s="143"/>
      <c r="G32" s="195">
        <f t="shared" si="5"/>
        <v>0</v>
      </c>
    </row>
    <row r="33" spans="1:7" ht="12.75" customHeight="1">
      <c r="A33" s="48"/>
      <c r="B33" s="72" t="s">
        <v>52</v>
      </c>
      <c r="C33" s="131" t="s">
        <v>19</v>
      </c>
      <c r="D33" s="148">
        <v>0</v>
      </c>
      <c r="E33" s="143">
        <f t="shared" si="6"/>
        <v>0</v>
      </c>
      <c r="F33" s="143"/>
      <c r="G33" s="195">
        <f t="shared" si="5"/>
        <v>0</v>
      </c>
    </row>
    <row r="34" spans="1:7" ht="12.75" customHeight="1">
      <c r="A34" s="48"/>
      <c r="B34" s="20"/>
      <c r="C34" s="131"/>
      <c r="D34" s="148"/>
      <c r="E34" s="143"/>
      <c r="F34" s="143"/>
      <c r="G34" s="195"/>
    </row>
    <row r="35" spans="1:7" ht="257.25" customHeight="1">
      <c r="A35" s="48">
        <f>+A21+1</f>
        <v>3</v>
      </c>
      <c r="B35" s="71" t="s">
        <v>424</v>
      </c>
      <c r="C35" s="178"/>
      <c r="D35" s="196"/>
      <c r="E35" s="196"/>
      <c r="F35" s="198"/>
      <c r="G35" s="199"/>
    </row>
    <row r="36" spans="1:7" ht="12.75" customHeight="1">
      <c r="A36" s="48"/>
      <c r="B36" s="72" t="s">
        <v>32</v>
      </c>
      <c r="C36" s="178" t="s">
        <v>15</v>
      </c>
      <c r="D36" s="196">
        <v>26</v>
      </c>
      <c r="E36" s="196">
        <f t="shared" ref="E36:E47" si="7">+D36</f>
        <v>26</v>
      </c>
      <c r="F36" s="198"/>
      <c r="G36" s="199">
        <f t="shared" ref="G36:G47" si="8">E36*F36</f>
        <v>0</v>
      </c>
    </row>
    <row r="37" spans="1:7" ht="12.75" customHeight="1">
      <c r="A37" s="48"/>
      <c r="B37" s="72" t="s">
        <v>33</v>
      </c>
      <c r="C37" s="178" t="s">
        <v>15</v>
      </c>
      <c r="D37" s="196">
        <v>5</v>
      </c>
      <c r="E37" s="196">
        <f t="shared" si="7"/>
        <v>5</v>
      </c>
      <c r="F37" s="198"/>
      <c r="G37" s="199">
        <f t="shared" si="8"/>
        <v>0</v>
      </c>
    </row>
    <row r="38" spans="1:7" ht="12.75" customHeight="1">
      <c r="A38" s="48"/>
      <c r="B38" s="72" t="s">
        <v>34</v>
      </c>
      <c r="C38" s="178" t="s">
        <v>15</v>
      </c>
      <c r="D38" s="196">
        <v>7</v>
      </c>
      <c r="E38" s="196">
        <f t="shared" si="7"/>
        <v>7</v>
      </c>
      <c r="F38" s="198"/>
      <c r="G38" s="199">
        <f t="shared" si="8"/>
        <v>0</v>
      </c>
    </row>
    <row r="39" spans="1:7" ht="12.75" customHeight="1">
      <c r="A39" s="48"/>
      <c r="B39" s="72" t="s">
        <v>35</v>
      </c>
      <c r="C39" s="178" t="s">
        <v>15</v>
      </c>
      <c r="D39" s="196">
        <v>0</v>
      </c>
      <c r="E39" s="196">
        <f t="shared" si="7"/>
        <v>0</v>
      </c>
      <c r="F39" s="198"/>
      <c r="G39" s="199">
        <f t="shared" si="8"/>
        <v>0</v>
      </c>
    </row>
    <row r="40" spans="1:7" ht="12.75" customHeight="1">
      <c r="A40" s="48"/>
      <c r="B40" s="72" t="s">
        <v>36</v>
      </c>
      <c r="C40" s="178" t="s">
        <v>15</v>
      </c>
      <c r="D40" s="196">
        <v>5</v>
      </c>
      <c r="E40" s="196">
        <f t="shared" si="7"/>
        <v>5</v>
      </c>
      <c r="F40" s="198"/>
      <c r="G40" s="199">
        <f t="shared" si="8"/>
        <v>0</v>
      </c>
    </row>
    <row r="41" spans="1:7" ht="12.75" customHeight="1">
      <c r="A41" s="48" t="s">
        <v>161</v>
      </c>
      <c r="B41" s="72" t="s">
        <v>37</v>
      </c>
      <c r="C41" s="178" t="s">
        <v>15</v>
      </c>
      <c r="D41" s="196">
        <v>3</v>
      </c>
      <c r="E41" s="196">
        <f t="shared" si="7"/>
        <v>3</v>
      </c>
      <c r="F41" s="198"/>
      <c r="G41" s="199">
        <f t="shared" si="8"/>
        <v>0</v>
      </c>
    </row>
    <row r="42" spans="1:7" ht="12.75" customHeight="1">
      <c r="A42" s="48"/>
      <c r="B42" s="72" t="s">
        <v>47</v>
      </c>
      <c r="C42" s="178" t="s">
        <v>15</v>
      </c>
      <c r="D42" s="196">
        <v>10</v>
      </c>
      <c r="E42" s="196">
        <v>14</v>
      </c>
      <c r="F42" s="198"/>
      <c r="G42" s="199">
        <f t="shared" si="8"/>
        <v>0</v>
      </c>
    </row>
    <row r="43" spans="1:7" ht="12.75" customHeight="1">
      <c r="A43" s="48"/>
      <c r="B43" s="72" t="s">
        <v>49</v>
      </c>
      <c r="C43" s="178" t="s">
        <v>15</v>
      </c>
      <c r="D43" s="196">
        <v>8</v>
      </c>
      <c r="E43" s="196">
        <f t="shared" si="7"/>
        <v>8</v>
      </c>
      <c r="F43" s="198"/>
      <c r="G43" s="199">
        <f t="shared" si="8"/>
        <v>0</v>
      </c>
    </row>
    <row r="44" spans="1:7" ht="12.75" customHeight="1">
      <c r="A44" s="48"/>
      <c r="B44" s="72" t="s">
        <v>48</v>
      </c>
      <c r="C44" s="178" t="s">
        <v>15</v>
      </c>
      <c r="D44" s="196">
        <v>6</v>
      </c>
      <c r="E44" s="196">
        <f t="shared" si="7"/>
        <v>6</v>
      </c>
      <c r="F44" s="198"/>
      <c r="G44" s="199">
        <f t="shared" si="8"/>
        <v>0</v>
      </c>
    </row>
    <row r="45" spans="1:7" ht="12.75" customHeight="1">
      <c r="A45" s="48"/>
      <c r="B45" s="72" t="s">
        <v>50</v>
      </c>
      <c r="C45" s="178" t="s">
        <v>15</v>
      </c>
      <c r="D45" s="196">
        <v>5</v>
      </c>
      <c r="E45" s="196">
        <f t="shared" si="7"/>
        <v>5</v>
      </c>
      <c r="F45" s="198"/>
      <c r="G45" s="199">
        <f t="shared" si="8"/>
        <v>0</v>
      </c>
    </row>
    <row r="46" spans="1:7" ht="12.75" customHeight="1">
      <c r="A46" s="48"/>
      <c r="B46" s="72" t="s">
        <v>51</v>
      </c>
      <c r="C46" s="178" t="s">
        <v>15</v>
      </c>
      <c r="D46" s="196">
        <v>1</v>
      </c>
      <c r="E46" s="196">
        <f t="shared" si="7"/>
        <v>1</v>
      </c>
      <c r="F46" s="198"/>
      <c r="G46" s="199">
        <f t="shared" si="8"/>
        <v>0</v>
      </c>
    </row>
    <row r="47" spans="1:7" ht="12.75" customHeight="1">
      <c r="A47" s="48"/>
      <c r="B47" s="72" t="s">
        <v>52</v>
      </c>
      <c r="C47" s="178" t="s">
        <v>15</v>
      </c>
      <c r="D47" s="196">
        <v>7</v>
      </c>
      <c r="E47" s="196">
        <f t="shared" si="7"/>
        <v>7</v>
      </c>
      <c r="F47" s="198"/>
      <c r="G47" s="199">
        <f t="shared" si="8"/>
        <v>0</v>
      </c>
    </row>
    <row r="48" spans="1:7" ht="12.75" customHeight="1">
      <c r="A48" s="48"/>
      <c r="B48" s="49"/>
      <c r="C48" s="131"/>
      <c r="D48" s="142"/>
      <c r="E48" s="143"/>
      <c r="F48" s="143"/>
      <c r="G48" s="195"/>
    </row>
    <row r="49" spans="1:7" ht="259.5" customHeight="1">
      <c r="A49" s="48">
        <f>+A35+1</f>
        <v>4</v>
      </c>
      <c r="B49" s="71" t="s">
        <v>425</v>
      </c>
      <c r="C49" s="131"/>
      <c r="D49" s="200"/>
      <c r="E49" s="201"/>
      <c r="F49" s="452"/>
      <c r="G49" s="202"/>
    </row>
    <row r="50" spans="1:7" ht="12.75" customHeight="1">
      <c r="A50" s="48"/>
      <c r="B50" s="72" t="s">
        <v>32</v>
      </c>
      <c r="C50" s="134" t="s">
        <v>15</v>
      </c>
      <c r="D50" s="203">
        <v>10</v>
      </c>
      <c r="E50" s="203">
        <f t="shared" ref="E50:E51" si="9">+D50</f>
        <v>10</v>
      </c>
      <c r="F50" s="203"/>
      <c r="G50" s="204">
        <f t="shared" ref="G50:G51" si="10">E50*F50</f>
        <v>0</v>
      </c>
    </row>
    <row r="51" spans="1:7" ht="12.75" customHeight="1">
      <c r="A51" s="48"/>
      <c r="B51" s="72" t="s">
        <v>33</v>
      </c>
      <c r="C51" s="134" t="s">
        <v>15</v>
      </c>
      <c r="D51" s="203">
        <v>2</v>
      </c>
      <c r="E51" s="203">
        <f t="shared" si="9"/>
        <v>2</v>
      </c>
      <c r="F51" s="203"/>
      <c r="G51" s="204">
        <f t="shared" si="10"/>
        <v>0</v>
      </c>
    </row>
    <row r="52" spans="1:7" ht="12.75" customHeight="1">
      <c r="A52" s="48"/>
      <c r="B52" s="72" t="s">
        <v>34</v>
      </c>
      <c r="C52" s="134" t="s">
        <v>15</v>
      </c>
      <c r="D52" s="203">
        <v>0</v>
      </c>
      <c r="E52" s="203">
        <f t="shared" ref="E52:E61" si="11">+D52</f>
        <v>0</v>
      </c>
      <c r="F52" s="203"/>
      <c r="G52" s="204">
        <f t="shared" ref="G52:G61" si="12">E52*F52</f>
        <v>0</v>
      </c>
    </row>
    <row r="53" spans="1:7" ht="12.75" customHeight="1">
      <c r="A53" s="48"/>
      <c r="B53" s="72" t="s">
        <v>35</v>
      </c>
      <c r="C53" s="134" t="s">
        <v>15</v>
      </c>
      <c r="D53" s="203">
        <v>0</v>
      </c>
      <c r="E53" s="203">
        <f t="shared" si="11"/>
        <v>0</v>
      </c>
      <c r="F53" s="203"/>
      <c r="G53" s="204">
        <f t="shared" si="12"/>
        <v>0</v>
      </c>
    </row>
    <row r="54" spans="1:7" ht="12.75" customHeight="1">
      <c r="A54" s="48"/>
      <c r="B54" s="72" t="s">
        <v>36</v>
      </c>
      <c r="C54" s="134" t="s">
        <v>15</v>
      </c>
      <c r="D54" s="203">
        <v>2</v>
      </c>
      <c r="E54" s="203">
        <f t="shared" si="11"/>
        <v>2</v>
      </c>
      <c r="F54" s="203"/>
      <c r="G54" s="204">
        <f t="shared" si="12"/>
        <v>0</v>
      </c>
    </row>
    <row r="55" spans="1:7" ht="12.75" customHeight="1">
      <c r="A55" s="48"/>
      <c r="B55" s="72" t="s">
        <v>37</v>
      </c>
      <c r="C55" s="134" t="s">
        <v>15</v>
      </c>
      <c r="D55" s="203">
        <v>2</v>
      </c>
      <c r="E55" s="203">
        <f>+D55</f>
        <v>2</v>
      </c>
      <c r="F55" s="203"/>
      <c r="G55" s="204">
        <f t="shared" si="12"/>
        <v>0</v>
      </c>
    </row>
    <row r="56" spans="1:7" ht="12.75" customHeight="1">
      <c r="A56" s="48"/>
      <c r="B56" s="72" t="s">
        <v>47</v>
      </c>
      <c r="C56" s="134" t="s">
        <v>15</v>
      </c>
      <c r="D56" s="203">
        <v>3</v>
      </c>
      <c r="E56" s="203">
        <f t="shared" si="11"/>
        <v>3</v>
      </c>
      <c r="F56" s="203"/>
      <c r="G56" s="204">
        <f t="shared" si="12"/>
        <v>0</v>
      </c>
    </row>
    <row r="57" spans="1:7" ht="12.75" customHeight="1">
      <c r="A57" s="48"/>
      <c r="B57" s="72" t="s">
        <v>49</v>
      </c>
      <c r="C57" s="134" t="s">
        <v>15</v>
      </c>
      <c r="D57" s="203">
        <v>0</v>
      </c>
      <c r="E57" s="203">
        <f t="shared" si="11"/>
        <v>0</v>
      </c>
      <c r="F57" s="203"/>
      <c r="G57" s="204">
        <f t="shared" si="12"/>
        <v>0</v>
      </c>
    </row>
    <row r="58" spans="1:7" ht="12.75" customHeight="1">
      <c r="A58" s="48"/>
      <c r="B58" s="72" t="s">
        <v>48</v>
      </c>
      <c r="C58" s="134" t="s">
        <v>15</v>
      </c>
      <c r="D58" s="203">
        <v>0</v>
      </c>
      <c r="E58" s="203">
        <f t="shared" si="11"/>
        <v>0</v>
      </c>
      <c r="F58" s="203"/>
      <c r="G58" s="204">
        <f t="shared" si="12"/>
        <v>0</v>
      </c>
    </row>
    <row r="59" spans="1:7" ht="12.75" customHeight="1">
      <c r="A59" s="48"/>
      <c r="B59" s="72" t="s">
        <v>50</v>
      </c>
      <c r="C59" s="134" t="s">
        <v>15</v>
      </c>
      <c r="D59" s="203">
        <v>6</v>
      </c>
      <c r="E59" s="203">
        <f t="shared" si="11"/>
        <v>6</v>
      </c>
      <c r="F59" s="203"/>
      <c r="G59" s="204">
        <f t="shared" si="12"/>
        <v>0</v>
      </c>
    </row>
    <row r="60" spans="1:7" ht="12.75" customHeight="1">
      <c r="A60" s="48"/>
      <c r="B60" s="72" t="s">
        <v>51</v>
      </c>
      <c r="C60" s="134" t="s">
        <v>15</v>
      </c>
      <c r="D60" s="203">
        <v>2</v>
      </c>
      <c r="E60" s="203">
        <f t="shared" si="11"/>
        <v>2</v>
      </c>
      <c r="F60" s="203"/>
      <c r="G60" s="204">
        <f t="shared" si="12"/>
        <v>0</v>
      </c>
    </row>
    <row r="61" spans="1:7" ht="12.75" customHeight="1">
      <c r="A61" s="48"/>
      <c r="B61" s="72" t="s">
        <v>52</v>
      </c>
      <c r="C61" s="134" t="s">
        <v>15</v>
      </c>
      <c r="D61" s="203">
        <v>3</v>
      </c>
      <c r="E61" s="203">
        <f t="shared" si="11"/>
        <v>3</v>
      </c>
      <c r="F61" s="203"/>
      <c r="G61" s="204">
        <f t="shared" si="12"/>
        <v>0</v>
      </c>
    </row>
    <row r="62" spans="1:7" ht="12.75" customHeight="1">
      <c r="A62" s="48"/>
      <c r="B62" s="52"/>
      <c r="C62" s="134"/>
      <c r="D62" s="151"/>
      <c r="E62" s="152"/>
      <c r="F62" s="149"/>
      <c r="G62" s="150"/>
    </row>
    <row r="63" spans="1:7" ht="256.5" customHeight="1">
      <c r="A63" s="48">
        <f>+A49+1</f>
        <v>5</v>
      </c>
      <c r="B63" s="71" t="s">
        <v>426</v>
      </c>
      <c r="C63" s="131"/>
      <c r="D63" s="200"/>
      <c r="E63" s="201"/>
      <c r="F63" s="452"/>
      <c r="G63" s="202"/>
    </row>
    <row r="64" spans="1:7" ht="12.75" customHeight="1">
      <c r="A64" s="48"/>
      <c r="B64" s="72" t="s">
        <v>32</v>
      </c>
      <c r="C64" s="134" t="s">
        <v>15</v>
      </c>
      <c r="D64" s="203">
        <v>6</v>
      </c>
      <c r="E64" s="203">
        <f t="shared" ref="E64:E75" si="13">+D64</f>
        <v>6</v>
      </c>
      <c r="F64" s="203"/>
      <c r="G64" s="204">
        <f t="shared" ref="G64:G75" si="14">E64*F64</f>
        <v>0</v>
      </c>
    </row>
    <row r="65" spans="1:7" ht="12.75" customHeight="1">
      <c r="A65" s="48"/>
      <c r="B65" s="72" t="s">
        <v>33</v>
      </c>
      <c r="C65" s="134" t="s">
        <v>15</v>
      </c>
      <c r="D65" s="203">
        <v>0</v>
      </c>
      <c r="E65" s="203">
        <f t="shared" si="13"/>
        <v>0</v>
      </c>
      <c r="F65" s="203"/>
      <c r="G65" s="204">
        <f t="shared" si="14"/>
        <v>0</v>
      </c>
    </row>
    <row r="66" spans="1:7" ht="12.75" customHeight="1">
      <c r="A66" s="48"/>
      <c r="B66" s="72" t="s">
        <v>34</v>
      </c>
      <c r="C66" s="134" t="s">
        <v>15</v>
      </c>
      <c r="D66" s="203">
        <v>0</v>
      </c>
      <c r="E66" s="203">
        <f t="shared" si="13"/>
        <v>0</v>
      </c>
      <c r="F66" s="203"/>
      <c r="G66" s="204">
        <f t="shared" si="14"/>
        <v>0</v>
      </c>
    </row>
    <row r="67" spans="1:7" ht="12.75" customHeight="1">
      <c r="A67" s="48"/>
      <c r="B67" s="72" t="s">
        <v>35</v>
      </c>
      <c r="C67" s="134" t="s">
        <v>15</v>
      </c>
      <c r="D67" s="203">
        <v>0</v>
      </c>
      <c r="E67" s="203">
        <f t="shared" si="13"/>
        <v>0</v>
      </c>
      <c r="F67" s="203"/>
      <c r="G67" s="204">
        <f t="shared" si="14"/>
        <v>0</v>
      </c>
    </row>
    <row r="68" spans="1:7" ht="12.75" customHeight="1">
      <c r="A68" s="48"/>
      <c r="B68" s="72" t="s">
        <v>36</v>
      </c>
      <c r="C68" s="134" t="s">
        <v>15</v>
      </c>
      <c r="D68" s="203">
        <v>0</v>
      </c>
      <c r="E68" s="203">
        <f t="shared" si="13"/>
        <v>0</v>
      </c>
      <c r="F68" s="203"/>
      <c r="G68" s="204">
        <f t="shared" si="14"/>
        <v>0</v>
      </c>
    </row>
    <row r="69" spans="1:7" ht="12.75" customHeight="1">
      <c r="A69" s="48"/>
      <c r="B69" s="72" t="s">
        <v>37</v>
      </c>
      <c r="C69" s="134" t="s">
        <v>15</v>
      </c>
      <c r="D69" s="203">
        <v>0</v>
      </c>
      <c r="E69" s="203">
        <f t="shared" si="13"/>
        <v>0</v>
      </c>
      <c r="F69" s="203"/>
      <c r="G69" s="204">
        <f t="shared" si="14"/>
        <v>0</v>
      </c>
    </row>
    <row r="70" spans="1:7" ht="12.75" customHeight="1">
      <c r="A70" s="48"/>
      <c r="B70" s="72" t="s">
        <v>47</v>
      </c>
      <c r="C70" s="134" t="s">
        <v>15</v>
      </c>
      <c r="D70" s="203">
        <v>0</v>
      </c>
      <c r="E70" s="203">
        <f t="shared" si="13"/>
        <v>0</v>
      </c>
      <c r="F70" s="203"/>
      <c r="G70" s="204">
        <f t="shared" si="14"/>
        <v>0</v>
      </c>
    </row>
    <row r="71" spans="1:7" ht="12.75" customHeight="1">
      <c r="A71" s="48"/>
      <c r="B71" s="72" t="s">
        <v>49</v>
      </c>
      <c r="C71" s="134" t="s">
        <v>15</v>
      </c>
      <c r="D71" s="203">
        <v>0</v>
      </c>
      <c r="E71" s="203">
        <f t="shared" si="13"/>
        <v>0</v>
      </c>
      <c r="F71" s="203"/>
      <c r="G71" s="204">
        <f t="shared" si="14"/>
        <v>0</v>
      </c>
    </row>
    <row r="72" spans="1:7" ht="12.75" customHeight="1">
      <c r="A72" s="48"/>
      <c r="B72" s="72" t="s">
        <v>48</v>
      </c>
      <c r="C72" s="134" t="s">
        <v>15</v>
      </c>
      <c r="D72" s="203">
        <v>0</v>
      </c>
      <c r="E72" s="203">
        <f t="shared" si="13"/>
        <v>0</v>
      </c>
      <c r="F72" s="203"/>
      <c r="G72" s="204">
        <f t="shared" si="14"/>
        <v>0</v>
      </c>
    </row>
    <row r="73" spans="1:7" ht="12.75" customHeight="1">
      <c r="A73" s="48"/>
      <c r="B73" s="72" t="s">
        <v>50</v>
      </c>
      <c r="C73" s="134" t="s">
        <v>15</v>
      </c>
      <c r="D73" s="203">
        <v>4</v>
      </c>
      <c r="E73" s="203">
        <f t="shared" si="13"/>
        <v>4</v>
      </c>
      <c r="F73" s="203"/>
      <c r="G73" s="204">
        <f t="shared" si="14"/>
        <v>0</v>
      </c>
    </row>
    <row r="74" spans="1:7" ht="12.75" customHeight="1">
      <c r="A74" s="48"/>
      <c r="B74" s="72" t="s">
        <v>51</v>
      </c>
      <c r="C74" s="134" t="s">
        <v>15</v>
      </c>
      <c r="D74" s="203">
        <v>0</v>
      </c>
      <c r="E74" s="203">
        <f t="shared" si="13"/>
        <v>0</v>
      </c>
      <c r="F74" s="203"/>
      <c r="G74" s="204">
        <f t="shared" si="14"/>
        <v>0</v>
      </c>
    </row>
    <row r="75" spans="1:7" ht="12.75" customHeight="1">
      <c r="A75" s="48"/>
      <c r="B75" s="72" t="s">
        <v>52</v>
      </c>
      <c r="C75" s="134" t="s">
        <v>15</v>
      </c>
      <c r="D75" s="203">
        <v>0</v>
      </c>
      <c r="E75" s="203">
        <f t="shared" si="13"/>
        <v>0</v>
      </c>
      <c r="F75" s="203"/>
      <c r="G75" s="204">
        <f t="shared" si="14"/>
        <v>0</v>
      </c>
    </row>
    <row r="76" spans="1:7" ht="12.75" customHeight="1">
      <c r="A76" s="48"/>
      <c r="B76" s="52"/>
      <c r="C76" s="134"/>
      <c r="D76" s="151"/>
      <c r="E76" s="152"/>
      <c r="F76" s="149"/>
      <c r="G76" s="150"/>
    </row>
    <row r="77" spans="1:7" ht="89.25">
      <c r="A77" s="48">
        <f>+A63+1</f>
        <v>6</v>
      </c>
      <c r="B77" s="73" t="s">
        <v>427</v>
      </c>
      <c r="C77" s="179"/>
      <c r="D77" s="205"/>
      <c r="E77" s="205"/>
      <c r="F77" s="188"/>
      <c r="G77" s="204"/>
    </row>
    <row r="78" spans="1:7" ht="12.75" customHeight="1">
      <c r="A78" s="48"/>
      <c r="B78" s="72" t="s">
        <v>32</v>
      </c>
      <c r="C78" s="179" t="s">
        <v>15</v>
      </c>
      <c r="D78" s="205">
        <v>10</v>
      </c>
      <c r="E78" s="205">
        <f>+D78</f>
        <v>10</v>
      </c>
      <c r="F78" s="188"/>
      <c r="G78" s="204">
        <f t="shared" ref="G78:G89" si="15">E78*F78</f>
        <v>0</v>
      </c>
    </row>
    <row r="79" spans="1:7" ht="12.75" customHeight="1">
      <c r="A79" s="48"/>
      <c r="B79" s="72" t="s">
        <v>33</v>
      </c>
      <c r="C79" s="179" t="s">
        <v>15</v>
      </c>
      <c r="D79" s="205">
        <v>4</v>
      </c>
      <c r="E79" s="205">
        <f t="shared" ref="E79:E89" si="16">+D79</f>
        <v>4</v>
      </c>
      <c r="F79" s="188"/>
      <c r="G79" s="204">
        <f t="shared" si="15"/>
        <v>0</v>
      </c>
    </row>
    <row r="80" spans="1:7" ht="12.75" customHeight="1">
      <c r="A80" s="48"/>
      <c r="B80" s="72" t="s">
        <v>34</v>
      </c>
      <c r="C80" s="179" t="s">
        <v>15</v>
      </c>
      <c r="D80" s="205">
        <v>7</v>
      </c>
      <c r="E80" s="205">
        <f t="shared" si="16"/>
        <v>7</v>
      </c>
      <c r="F80" s="188"/>
      <c r="G80" s="204">
        <f t="shared" si="15"/>
        <v>0</v>
      </c>
    </row>
    <row r="81" spans="1:7" ht="12.75" customHeight="1">
      <c r="A81" s="48"/>
      <c r="B81" s="72" t="s">
        <v>35</v>
      </c>
      <c r="C81" s="179" t="s">
        <v>15</v>
      </c>
      <c r="D81" s="205">
        <v>0</v>
      </c>
      <c r="E81" s="205">
        <f t="shared" si="16"/>
        <v>0</v>
      </c>
      <c r="F81" s="188"/>
      <c r="G81" s="204">
        <f t="shared" si="15"/>
        <v>0</v>
      </c>
    </row>
    <row r="82" spans="1:7" ht="12.75" customHeight="1">
      <c r="A82" s="48"/>
      <c r="B82" s="72" t="s">
        <v>36</v>
      </c>
      <c r="C82" s="179" t="s">
        <v>15</v>
      </c>
      <c r="D82" s="205">
        <v>1</v>
      </c>
      <c r="E82" s="205">
        <f t="shared" si="16"/>
        <v>1</v>
      </c>
      <c r="F82" s="188"/>
      <c r="G82" s="204">
        <f t="shared" si="15"/>
        <v>0</v>
      </c>
    </row>
    <row r="83" spans="1:7" ht="12.75" customHeight="1">
      <c r="A83" s="48"/>
      <c r="B83" s="72" t="s">
        <v>37</v>
      </c>
      <c r="C83" s="179" t="s">
        <v>15</v>
      </c>
      <c r="D83" s="205">
        <v>1</v>
      </c>
      <c r="E83" s="205">
        <f t="shared" si="16"/>
        <v>1</v>
      </c>
      <c r="F83" s="188"/>
      <c r="G83" s="204">
        <f t="shared" si="15"/>
        <v>0</v>
      </c>
    </row>
    <row r="84" spans="1:7" ht="12.75" customHeight="1">
      <c r="A84" s="48"/>
      <c r="B84" s="72" t="s">
        <v>47</v>
      </c>
      <c r="C84" s="179" t="s">
        <v>15</v>
      </c>
      <c r="D84" s="205">
        <v>17</v>
      </c>
      <c r="E84" s="205">
        <f t="shared" si="16"/>
        <v>17</v>
      </c>
      <c r="F84" s="188"/>
      <c r="G84" s="204">
        <f t="shared" si="15"/>
        <v>0</v>
      </c>
    </row>
    <row r="85" spans="1:7" ht="12.75" customHeight="1">
      <c r="A85" s="48"/>
      <c r="B85" s="72" t="s">
        <v>49</v>
      </c>
      <c r="C85" s="179" t="s">
        <v>15</v>
      </c>
      <c r="D85" s="205">
        <v>7</v>
      </c>
      <c r="E85" s="205">
        <f t="shared" si="16"/>
        <v>7</v>
      </c>
      <c r="F85" s="188"/>
      <c r="G85" s="204">
        <f t="shared" si="15"/>
        <v>0</v>
      </c>
    </row>
    <row r="86" spans="1:7" ht="12.75" customHeight="1">
      <c r="A86" s="48"/>
      <c r="B86" s="72" t="s">
        <v>48</v>
      </c>
      <c r="C86" s="179" t="s">
        <v>15</v>
      </c>
      <c r="D86" s="205">
        <v>4</v>
      </c>
      <c r="E86" s="205">
        <f t="shared" si="16"/>
        <v>4</v>
      </c>
      <c r="F86" s="188"/>
      <c r="G86" s="204">
        <f t="shared" si="15"/>
        <v>0</v>
      </c>
    </row>
    <row r="87" spans="1:7" ht="12.75" customHeight="1">
      <c r="A87" s="48"/>
      <c r="B87" s="72" t="s">
        <v>50</v>
      </c>
      <c r="C87" s="179" t="s">
        <v>15</v>
      </c>
      <c r="D87" s="205">
        <v>6</v>
      </c>
      <c r="E87" s="205">
        <f t="shared" si="16"/>
        <v>6</v>
      </c>
      <c r="F87" s="188"/>
      <c r="G87" s="204">
        <f t="shared" si="15"/>
        <v>0</v>
      </c>
    </row>
    <row r="88" spans="1:7" ht="12.75" customHeight="1">
      <c r="A88" s="48"/>
      <c r="B88" s="72" t="s">
        <v>51</v>
      </c>
      <c r="C88" s="179" t="s">
        <v>15</v>
      </c>
      <c r="D88" s="205">
        <v>1</v>
      </c>
      <c r="E88" s="205">
        <f t="shared" si="16"/>
        <v>1</v>
      </c>
      <c r="F88" s="188"/>
      <c r="G88" s="204">
        <f t="shared" si="15"/>
        <v>0</v>
      </c>
    </row>
    <row r="89" spans="1:7" ht="12.75" customHeight="1">
      <c r="A89" s="48"/>
      <c r="B89" s="72" t="s">
        <v>52</v>
      </c>
      <c r="C89" s="179" t="s">
        <v>15</v>
      </c>
      <c r="D89" s="205">
        <v>5</v>
      </c>
      <c r="E89" s="205">
        <f t="shared" si="16"/>
        <v>5</v>
      </c>
      <c r="F89" s="188"/>
      <c r="G89" s="204">
        <f t="shared" si="15"/>
        <v>0</v>
      </c>
    </row>
    <row r="90" spans="1:7" ht="12.75" customHeight="1">
      <c r="A90" s="48"/>
      <c r="B90" s="72"/>
      <c r="C90" s="131"/>
      <c r="D90" s="148"/>
      <c r="E90" s="148"/>
      <c r="F90" s="145"/>
      <c r="G90" s="206"/>
    </row>
    <row r="91" spans="1:7" ht="89.25">
      <c r="A91" s="48">
        <f>+A77+1</f>
        <v>7</v>
      </c>
      <c r="B91" s="74" t="s">
        <v>428</v>
      </c>
      <c r="C91" s="179"/>
      <c r="D91" s="205"/>
      <c r="E91" s="205"/>
      <c r="F91" s="188"/>
      <c r="G91" s="204"/>
    </row>
    <row r="92" spans="1:7" ht="12.75" customHeight="1">
      <c r="A92" s="48"/>
      <c r="B92" s="72" t="s">
        <v>32</v>
      </c>
      <c r="C92" s="179" t="s">
        <v>15</v>
      </c>
      <c r="D92" s="205">
        <v>32</v>
      </c>
      <c r="E92" s="205">
        <f>+D92</f>
        <v>32</v>
      </c>
      <c r="F92" s="188"/>
      <c r="G92" s="204">
        <f t="shared" ref="G92:G103" si="17">E92*F92</f>
        <v>0</v>
      </c>
    </row>
    <row r="93" spans="1:7" ht="12.75" customHeight="1">
      <c r="A93" s="48"/>
      <c r="B93" s="72" t="s">
        <v>33</v>
      </c>
      <c r="C93" s="179" t="s">
        <v>15</v>
      </c>
      <c r="D93" s="205">
        <v>3</v>
      </c>
      <c r="E93" s="205">
        <f t="shared" ref="E93:E103" si="18">+D93</f>
        <v>3</v>
      </c>
      <c r="F93" s="188"/>
      <c r="G93" s="204">
        <f t="shared" si="17"/>
        <v>0</v>
      </c>
    </row>
    <row r="94" spans="1:7" ht="12.75" customHeight="1">
      <c r="A94" s="48"/>
      <c r="B94" s="72" t="s">
        <v>34</v>
      </c>
      <c r="C94" s="179" t="s">
        <v>15</v>
      </c>
      <c r="D94" s="205">
        <v>0</v>
      </c>
      <c r="E94" s="205">
        <f t="shared" si="18"/>
        <v>0</v>
      </c>
      <c r="F94" s="188"/>
      <c r="G94" s="204">
        <f t="shared" si="17"/>
        <v>0</v>
      </c>
    </row>
    <row r="95" spans="1:7" ht="12.75" customHeight="1">
      <c r="A95" s="48"/>
      <c r="B95" s="72" t="s">
        <v>35</v>
      </c>
      <c r="C95" s="179" t="s">
        <v>15</v>
      </c>
      <c r="D95" s="205">
        <v>0</v>
      </c>
      <c r="E95" s="205">
        <f t="shared" si="18"/>
        <v>0</v>
      </c>
      <c r="F95" s="188"/>
      <c r="G95" s="204">
        <f t="shared" si="17"/>
        <v>0</v>
      </c>
    </row>
    <row r="96" spans="1:7" ht="12.75" customHeight="1">
      <c r="A96" s="48"/>
      <c r="B96" s="72" t="s">
        <v>36</v>
      </c>
      <c r="C96" s="179" t="s">
        <v>15</v>
      </c>
      <c r="D96" s="205">
        <v>6</v>
      </c>
      <c r="E96" s="205">
        <f t="shared" si="18"/>
        <v>6</v>
      </c>
      <c r="F96" s="188"/>
      <c r="G96" s="204">
        <f t="shared" si="17"/>
        <v>0</v>
      </c>
    </row>
    <row r="97" spans="1:7" ht="12.75" customHeight="1">
      <c r="A97" s="48"/>
      <c r="B97" s="72" t="s">
        <v>37</v>
      </c>
      <c r="C97" s="179" t="s">
        <v>15</v>
      </c>
      <c r="D97" s="205">
        <v>4</v>
      </c>
      <c r="E97" s="205">
        <f t="shared" si="18"/>
        <v>4</v>
      </c>
      <c r="F97" s="188"/>
      <c r="G97" s="204">
        <f t="shared" si="17"/>
        <v>0</v>
      </c>
    </row>
    <row r="98" spans="1:7" ht="12.75" customHeight="1">
      <c r="A98" s="48"/>
      <c r="B98" s="72" t="s">
        <v>47</v>
      </c>
      <c r="C98" s="179" t="s">
        <v>15</v>
      </c>
      <c r="D98" s="205">
        <v>0</v>
      </c>
      <c r="E98" s="205">
        <f t="shared" si="18"/>
        <v>0</v>
      </c>
      <c r="F98" s="188"/>
      <c r="G98" s="204">
        <f t="shared" si="17"/>
        <v>0</v>
      </c>
    </row>
    <row r="99" spans="1:7" ht="12.75" customHeight="1">
      <c r="A99" s="48"/>
      <c r="B99" s="72" t="s">
        <v>49</v>
      </c>
      <c r="C99" s="179" t="s">
        <v>15</v>
      </c>
      <c r="D99" s="205">
        <v>1</v>
      </c>
      <c r="E99" s="205">
        <f t="shared" si="18"/>
        <v>1</v>
      </c>
      <c r="F99" s="188"/>
      <c r="G99" s="204">
        <f t="shared" si="17"/>
        <v>0</v>
      </c>
    </row>
    <row r="100" spans="1:7" ht="12.75" customHeight="1">
      <c r="A100" s="48"/>
      <c r="B100" s="72" t="s">
        <v>48</v>
      </c>
      <c r="C100" s="179" t="s">
        <v>15</v>
      </c>
      <c r="D100" s="205">
        <v>2</v>
      </c>
      <c r="E100" s="205">
        <f t="shared" si="18"/>
        <v>2</v>
      </c>
      <c r="F100" s="188"/>
      <c r="G100" s="204">
        <f t="shared" si="17"/>
        <v>0</v>
      </c>
    </row>
    <row r="101" spans="1:7" ht="12.75" customHeight="1">
      <c r="A101" s="48"/>
      <c r="B101" s="72" t="s">
        <v>50</v>
      </c>
      <c r="C101" s="179" t="s">
        <v>15</v>
      </c>
      <c r="D101" s="205">
        <v>9</v>
      </c>
      <c r="E101" s="205">
        <f t="shared" si="18"/>
        <v>9</v>
      </c>
      <c r="F101" s="188"/>
      <c r="G101" s="204">
        <f t="shared" si="17"/>
        <v>0</v>
      </c>
    </row>
    <row r="102" spans="1:7" ht="12.75" customHeight="1">
      <c r="A102" s="48"/>
      <c r="B102" s="72" t="s">
        <v>51</v>
      </c>
      <c r="C102" s="179" t="s">
        <v>15</v>
      </c>
      <c r="D102" s="205">
        <v>2</v>
      </c>
      <c r="E102" s="205">
        <f t="shared" si="18"/>
        <v>2</v>
      </c>
      <c r="F102" s="188"/>
      <c r="G102" s="204">
        <f t="shared" si="17"/>
        <v>0</v>
      </c>
    </row>
    <row r="103" spans="1:7" ht="12.75" customHeight="1">
      <c r="A103" s="48"/>
      <c r="B103" s="72" t="s">
        <v>52</v>
      </c>
      <c r="C103" s="179" t="s">
        <v>15</v>
      </c>
      <c r="D103" s="205">
        <v>5</v>
      </c>
      <c r="E103" s="205">
        <f t="shared" si="18"/>
        <v>5</v>
      </c>
      <c r="F103" s="188"/>
      <c r="G103" s="204">
        <f t="shared" si="17"/>
        <v>0</v>
      </c>
    </row>
    <row r="104" spans="1:7" ht="12.75" customHeight="1">
      <c r="A104" s="48"/>
      <c r="B104" s="72"/>
      <c r="C104" s="134"/>
      <c r="D104" s="151"/>
      <c r="E104" s="151"/>
      <c r="F104" s="188"/>
      <c r="G104" s="204"/>
    </row>
    <row r="105" spans="1:7" ht="41.25" customHeight="1">
      <c r="A105" s="48">
        <f>+A91+1</f>
        <v>8</v>
      </c>
      <c r="B105" s="64" t="s">
        <v>24</v>
      </c>
      <c r="C105" s="180"/>
      <c r="D105" s="203"/>
      <c r="E105" s="188"/>
      <c r="F105" s="188"/>
      <c r="G105" s="204"/>
    </row>
    <row r="106" spans="1:7" ht="12.75" customHeight="1">
      <c r="A106" s="48"/>
      <c r="B106" s="72" t="s">
        <v>32</v>
      </c>
      <c r="C106" s="180" t="s">
        <v>15</v>
      </c>
      <c r="D106" s="203">
        <v>1</v>
      </c>
      <c r="E106" s="188">
        <v>1</v>
      </c>
      <c r="F106" s="188"/>
      <c r="G106" s="204">
        <f t="shared" ref="G106:G117" si="19">E106*F106</f>
        <v>0</v>
      </c>
    </row>
    <row r="107" spans="1:7" ht="12.75" customHeight="1">
      <c r="A107" s="48"/>
      <c r="B107" s="72" t="s">
        <v>33</v>
      </c>
      <c r="C107" s="180" t="s">
        <v>15</v>
      </c>
      <c r="D107" s="203">
        <v>1</v>
      </c>
      <c r="E107" s="188">
        <v>1</v>
      </c>
      <c r="F107" s="188"/>
      <c r="G107" s="204">
        <f t="shared" si="19"/>
        <v>0</v>
      </c>
    </row>
    <row r="108" spans="1:7" ht="12.75" customHeight="1">
      <c r="A108" s="48"/>
      <c r="B108" s="72" t="s">
        <v>34</v>
      </c>
      <c r="C108" s="180" t="s">
        <v>15</v>
      </c>
      <c r="D108" s="203">
        <v>1</v>
      </c>
      <c r="E108" s="188">
        <v>1</v>
      </c>
      <c r="F108" s="188"/>
      <c r="G108" s="204">
        <f t="shared" si="19"/>
        <v>0</v>
      </c>
    </row>
    <row r="109" spans="1:7" ht="12.75" customHeight="1">
      <c r="A109" s="48"/>
      <c r="B109" s="72" t="s">
        <v>35</v>
      </c>
      <c r="C109" s="180" t="s">
        <v>15</v>
      </c>
      <c r="D109" s="203">
        <v>1</v>
      </c>
      <c r="E109" s="188">
        <v>1</v>
      </c>
      <c r="F109" s="188"/>
      <c r="G109" s="204">
        <f t="shared" si="19"/>
        <v>0</v>
      </c>
    </row>
    <row r="110" spans="1:7" ht="12.75" customHeight="1">
      <c r="A110" s="48"/>
      <c r="B110" s="72" t="s">
        <v>36</v>
      </c>
      <c r="C110" s="180" t="s">
        <v>15</v>
      </c>
      <c r="D110" s="203">
        <v>1</v>
      </c>
      <c r="E110" s="188">
        <v>1</v>
      </c>
      <c r="F110" s="188"/>
      <c r="G110" s="204">
        <f t="shared" si="19"/>
        <v>0</v>
      </c>
    </row>
    <row r="111" spans="1:7" ht="12.75" customHeight="1">
      <c r="A111" s="48"/>
      <c r="B111" s="72" t="s">
        <v>37</v>
      </c>
      <c r="C111" s="180" t="s">
        <v>15</v>
      </c>
      <c r="D111" s="203">
        <v>1</v>
      </c>
      <c r="E111" s="188">
        <v>1</v>
      </c>
      <c r="F111" s="188"/>
      <c r="G111" s="204">
        <f t="shared" si="19"/>
        <v>0</v>
      </c>
    </row>
    <row r="112" spans="1:7" ht="12.75" customHeight="1">
      <c r="A112" s="48"/>
      <c r="B112" s="72" t="s">
        <v>47</v>
      </c>
      <c r="C112" s="180" t="s">
        <v>15</v>
      </c>
      <c r="D112" s="203">
        <v>1</v>
      </c>
      <c r="E112" s="188">
        <v>1</v>
      </c>
      <c r="F112" s="188"/>
      <c r="G112" s="204">
        <f t="shared" si="19"/>
        <v>0</v>
      </c>
    </row>
    <row r="113" spans="1:7" ht="12.75" customHeight="1">
      <c r="A113" s="48"/>
      <c r="B113" s="72" t="s">
        <v>49</v>
      </c>
      <c r="C113" s="180" t="s">
        <v>15</v>
      </c>
      <c r="D113" s="203">
        <v>1</v>
      </c>
      <c r="E113" s="188">
        <v>1</v>
      </c>
      <c r="F113" s="188"/>
      <c r="G113" s="204">
        <f t="shared" si="19"/>
        <v>0</v>
      </c>
    </row>
    <row r="114" spans="1:7" ht="12.75" customHeight="1">
      <c r="A114" s="48"/>
      <c r="B114" s="72" t="s">
        <v>48</v>
      </c>
      <c r="C114" s="180" t="s">
        <v>15</v>
      </c>
      <c r="D114" s="203">
        <v>1</v>
      </c>
      <c r="E114" s="188">
        <v>1</v>
      </c>
      <c r="F114" s="188"/>
      <c r="G114" s="204">
        <f t="shared" si="19"/>
        <v>0</v>
      </c>
    </row>
    <row r="115" spans="1:7" ht="12.75" customHeight="1">
      <c r="A115" s="48"/>
      <c r="B115" s="72" t="s">
        <v>50</v>
      </c>
      <c r="C115" s="180" t="s">
        <v>15</v>
      </c>
      <c r="D115" s="203">
        <v>1</v>
      </c>
      <c r="E115" s="188">
        <v>1</v>
      </c>
      <c r="F115" s="188"/>
      <c r="G115" s="204">
        <f t="shared" si="19"/>
        <v>0</v>
      </c>
    </row>
    <row r="116" spans="1:7" ht="12.75" customHeight="1">
      <c r="A116" s="48"/>
      <c r="B116" s="72" t="s">
        <v>51</v>
      </c>
      <c r="C116" s="180" t="s">
        <v>15</v>
      </c>
      <c r="D116" s="203">
        <v>1</v>
      </c>
      <c r="E116" s="188">
        <v>1</v>
      </c>
      <c r="F116" s="188"/>
      <c r="G116" s="204">
        <f t="shared" si="19"/>
        <v>0</v>
      </c>
    </row>
    <row r="117" spans="1:7" ht="12.75" customHeight="1">
      <c r="A117" s="48"/>
      <c r="B117" s="72" t="s">
        <v>52</v>
      </c>
      <c r="C117" s="180" t="s">
        <v>15</v>
      </c>
      <c r="D117" s="203">
        <v>1</v>
      </c>
      <c r="E117" s="188">
        <v>1</v>
      </c>
      <c r="F117" s="188"/>
      <c r="G117" s="204">
        <f t="shared" si="19"/>
        <v>0</v>
      </c>
    </row>
    <row r="118" spans="1:7" ht="12.75" customHeight="1">
      <c r="A118" s="48"/>
      <c r="B118" s="72"/>
      <c r="C118" s="180"/>
      <c r="D118" s="203"/>
      <c r="E118" s="188"/>
      <c r="F118" s="188"/>
      <c r="G118" s="204"/>
    </row>
    <row r="119" spans="1:7" ht="12.75" customHeight="1">
      <c r="A119" s="48"/>
      <c r="B119" s="56" t="s">
        <v>366</v>
      </c>
      <c r="C119" s="137"/>
      <c r="D119" s="207"/>
      <c r="E119" s="207"/>
      <c r="F119" s="208"/>
      <c r="G119" s="150"/>
    </row>
    <row r="120" spans="1:7" ht="12.75" customHeight="1">
      <c r="A120" s="48"/>
      <c r="B120" s="56"/>
      <c r="C120" s="137"/>
      <c r="D120" s="207"/>
      <c r="E120" s="216" t="s">
        <v>32</v>
      </c>
      <c r="F120" s="209"/>
      <c r="G120" s="147">
        <f t="shared" ref="G120:G125" si="20">+G106+G92+G78+G64+G50+G36+G22+G8</f>
        <v>0</v>
      </c>
    </row>
    <row r="121" spans="1:7" ht="12.75" customHeight="1">
      <c r="A121" s="48"/>
      <c r="B121" s="56"/>
      <c r="C121" s="137"/>
      <c r="D121" s="207"/>
      <c r="E121" s="216" t="s">
        <v>33</v>
      </c>
      <c r="F121" s="209"/>
      <c r="G121" s="147">
        <f t="shared" si="20"/>
        <v>0</v>
      </c>
    </row>
    <row r="122" spans="1:7" ht="12.75" customHeight="1">
      <c r="A122" s="48"/>
      <c r="B122" s="56"/>
      <c r="C122" s="137"/>
      <c r="D122" s="207"/>
      <c r="E122" s="216" t="s">
        <v>34</v>
      </c>
      <c r="F122" s="209"/>
      <c r="G122" s="147">
        <f t="shared" si="20"/>
        <v>0</v>
      </c>
    </row>
    <row r="123" spans="1:7" ht="12.75" customHeight="1">
      <c r="A123" s="48"/>
      <c r="B123" s="56"/>
      <c r="C123" s="137"/>
      <c r="D123" s="207"/>
      <c r="E123" s="216" t="s">
        <v>35</v>
      </c>
      <c r="F123" s="209"/>
      <c r="G123" s="147">
        <f t="shared" si="20"/>
        <v>0</v>
      </c>
    </row>
    <row r="124" spans="1:7" ht="12.75" customHeight="1">
      <c r="A124" s="48"/>
      <c r="B124" s="56"/>
      <c r="C124" s="137"/>
      <c r="D124" s="207"/>
      <c r="E124" s="216" t="s">
        <v>36</v>
      </c>
      <c r="F124" s="209"/>
      <c r="G124" s="147">
        <f t="shared" si="20"/>
        <v>0</v>
      </c>
    </row>
    <row r="125" spans="1:7" ht="12.75" customHeight="1">
      <c r="A125" s="48"/>
      <c r="B125" s="56"/>
      <c r="C125" s="137"/>
      <c r="D125" s="207"/>
      <c r="E125" s="216" t="s">
        <v>37</v>
      </c>
      <c r="F125" s="209"/>
      <c r="G125" s="147">
        <f t="shared" si="20"/>
        <v>0</v>
      </c>
    </row>
    <row r="126" spans="1:7" ht="12.75" customHeight="1">
      <c r="A126" s="48"/>
      <c r="B126" s="56"/>
      <c r="C126" s="137"/>
      <c r="D126" s="207"/>
      <c r="E126" s="216" t="s">
        <v>47</v>
      </c>
      <c r="F126" s="209"/>
      <c r="G126" s="147">
        <f t="shared" ref="G126:G131" si="21">+G112+G98+G84+G70+G56+G42+G28+G14</f>
        <v>0</v>
      </c>
    </row>
    <row r="127" spans="1:7" ht="12.75" customHeight="1">
      <c r="A127" s="48"/>
      <c r="B127" s="56"/>
      <c r="C127" s="137"/>
      <c r="D127" s="207"/>
      <c r="E127" s="216" t="s">
        <v>49</v>
      </c>
      <c r="F127" s="209"/>
      <c r="G127" s="147">
        <f t="shared" si="21"/>
        <v>0</v>
      </c>
    </row>
    <row r="128" spans="1:7" ht="12.75" customHeight="1">
      <c r="A128" s="48"/>
      <c r="B128" s="56"/>
      <c r="C128" s="137"/>
      <c r="D128" s="207"/>
      <c r="E128" s="216" t="s">
        <v>48</v>
      </c>
      <c r="F128" s="209"/>
      <c r="G128" s="147">
        <f t="shared" si="21"/>
        <v>0</v>
      </c>
    </row>
    <row r="129" spans="1:7" ht="12.75" customHeight="1">
      <c r="A129" s="48"/>
      <c r="B129" s="56"/>
      <c r="C129" s="137"/>
      <c r="D129" s="207"/>
      <c r="E129" s="216" t="s">
        <v>50</v>
      </c>
      <c r="F129" s="209"/>
      <c r="G129" s="147">
        <f t="shared" si="21"/>
        <v>0</v>
      </c>
    </row>
    <row r="130" spans="1:7" ht="12.75" customHeight="1">
      <c r="A130" s="48"/>
      <c r="B130" s="56"/>
      <c r="C130" s="137"/>
      <c r="D130" s="207"/>
      <c r="E130" s="216" t="s">
        <v>51</v>
      </c>
      <c r="F130" s="209"/>
      <c r="G130" s="147">
        <f t="shared" si="21"/>
        <v>0</v>
      </c>
    </row>
    <row r="131" spans="1:7" ht="12.75" customHeight="1">
      <c r="A131" s="48"/>
      <c r="B131" s="56"/>
      <c r="C131" s="137"/>
      <c r="D131" s="207"/>
      <c r="E131" s="216" t="s">
        <v>52</v>
      </c>
      <c r="F131" s="209"/>
      <c r="G131" s="147">
        <f t="shared" si="21"/>
        <v>0</v>
      </c>
    </row>
    <row r="132" spans="1:7" ht="12.75" customHeight="1">
      <c r="A132" s="48"/>
      <c r="B132" s="20"/>
      <c r="C132" s="78"/>
      <c r="D132" s="60"/>
      <c r="E132" s="46"/>
      <c r="F132" s="46"/>
      <c r="G132" s="215"/>
    </row>
    <row r="133" spans="1:7" ht="16.5" thickBot="1">
      <c r="A133" s="318" t="s">
        <v>64</v>
      </c>
      <c r="B133" s="322" t="s">
        <v>13</v>
      </c>
      <c r="C133" s="319"/>
      <c r="D133" s="323"/>
      <c r="E133" s="324"/>
      <c r="F133" s="231" t="s">
        <v>62</v>
      </c>
      <c r="G133" s="127">
        <f>SUM(G120:G131)</f>
        <v>0</v>
      </c>
    </row>
    <row r="134" spans="1:7" ht="12.75" customHeight="1" thickTop="1">
      <c r="A134" s="48"/>
      <c r="B134" s="20"/>
      <c r="C134" s="138"/>
      <c r="D134" s="148"/>
      <c r="E134" s="143"/>
      <c r="F134" s="143"/>
      <c r="G134" s="195"/>
    </row>
    <row r="135" spans="1:7" ht="12.75" customHeight="1">
      <c r="A135" s="48"/>
      <c r="B135" s="20"/>
      <c r="C135" s="138"/>
      <c r="D135" s="148"/>
      <c r="E135" s="143"/>
      <c r="F135" s="143"/>
      <c r="G135" s="195"/>
    </row>
    <row r="136" spans="1:7" ht="12.75" customHeight="1">
      <c r="A136" s="48"/>
      <c r="B136" s="20"/>
      <c r="C136" s="138"/>
      <c r="D136" s="148"/>
      <c r="E136" s="143"/>
      <c r="F136" s="143"/>
      <c r="G136" s="195"/>
    </row>
    <row r="137" spans="1:7" ht="12.75" customHeight="1">
      <c r="A137" s="48"/>
      <c r="B137" s="20"/>
      <c r="C137" s="138"/>
      <c r="D137" s="148"/>
      <c r="E137" s="143"/>
      <c r="F137" s="143"/>
      <c r="G137" s="195"/>
    </row>
    <row r="138" spans="1:7" ht="12.75" customHeight="1">
      <c r="A138" s="48"/>
      <c r="B138" s="20"/>
      <c r="C138" s="138"/>
      <c r="D138" s="148"/>
      <c r="E138" s="143"/>
      <c r="F138" s="143"/>
      <c r="G138" s="195"/>
    </row>
    <row r="139" spans="1:7" ht="12.75" customHeight="1">
      <c r="A139" s="48"/>
      <c r="B139" s="20"/>
      <c r="C139" s="138"/>
      <c r="D139" s="148"/>
      <c r="E139" s="143"/>
      <c r="F139" s="143"/>
      <c r="G139" s="195"/>
    </row>
    <row r="140" spans="1:7" ht="12.75" customHeight="1">
      <c r="A140" s="48"/>
      <c r="B140" s="20"/>
      <c r="C140" s="138"/>
      <c r="D140" s="148"/>
      <c r="E140" s="143"/>
      <c r="F140" s="143"/>
      <c r="G140" s="195"/>
    </row>
    <row r="141" spans="1:7" ht="12.75" customHeight="1">
      <c r="A141" s="48"/>
      <c r="B141" s="20"/>
      <c r="C141" s="138"/>
      <c r="D141" s="148"/>
      <c r="E141" s="143"/>
      <c r="F141" s="143"/>
      <c r="G141" s="195"/>
    </row>
    <row r="142" spans="1:7" ht="12.75" customHeight="1">
      <c r="A142" s="48"/>
      <c r="B142" s="20"/>
      <c r="C142" s="138"/>
      <c r="D142" s="148"/>
      <c r="E142" s="143"/>
      <c r="F142" s="143"/>
      <c r="G142" s="195"/>
    </row>
    <row r="143" spans="1:7" ht="12.75" customHeight="1">
      <c r="A143" s="48"/>
      <c r="B143" s="20"/>
      <c r="C143" s="138"/>
      <c r="D143" s="148"/>
      <c r="E143" s="143"/>
      <c r="F143" s="143"/>
      <c r="G143" s="195"/>
    </row>
    <row r="144" spans="1:7" ht="12.75" customHeight="1">
      <c r="A144" s="48"/>
      <c r="B144" s="20"/>
      <c r="C144" s="138"/>
      <c r="D144" s="148"/>
      <c r="E144" s="143"/>
      <c r="F144" s="143"/>
      <c r="G144" s="195"/>
    </row>
    <row r="145" spans="1:7" ht="12.75" customHeight="1">
      <c r="A145" s="48"/>
      <c r="B145" s="20"/>
      <c r="C145" s="138"/>
      <c r="D145" s="148"/>
      <c r="E145" s="143"/>
      <c r="F145" s="143"/>
      <c r="G145" s="195"/>
    </row>
    <row r="146" spans="1:7" ht="12.75" customHeight="1">
      <c r="A146" s="48"/>
      <c r="B146" s="20"/>
      <c r="C146" s="138"/>
      <c r="D146" s="148"/>
      <c r="E146" s="143"/>
      <c r="F146" s="143"/>
      <c r="G146" s="195"/>
    </row>
    <row r="147" spans="1:7" ht="12.75" customHeight="1">
      <c r="A147" s="48"/>
      <c r="B147" s="20"/>
      <c r="C147" s="138"/>
      <c r="D147" s="148"/>
      <c r="E147" s="143"/>
      <c r="F147" s="143"/>
      <c r="G147" s="195"/>
    </row>
    <row r="148" spans="1:7" ht="12.75" customHeight="1">
      <c r="A148" s="48"/>
      <c r="B148" s="20"/>
      <c r="C148" s="138"/>
      <c r="D148" s="148"/>
      <c r="E148" s="143"/>
      <c r="F148" s="143"/>
      <c r="G148" s="195"/>
    </row>
    <row r="149" spans="1:7" ht="12.75" customHeight="1">
      <c r="A149" s="48"/>
      <c r="B149" s="20"/>
      <c r="C149" s="138"/>
      <c r="D149" s="148"/>
      <c r="E149" s="143"/>
      <c r="F149" s="143"/>
      <c r="G149" s="195"/>
    </row>
    <row r="150" spans="1:7" ht="12.75" customHeight="1">
      <c r="A150" s="48"/>
      <c r="B150" s="20"/>
      <c r="C150" s="138"/>
      <c r="D150" s="148"/>
      <c r="E150" s="143"/>
      <c r="F150" s="143"/>
      <c r="G150" s="195"/>
    </row>
    <row r="151" spans="1:7" ht="12.75" customHeight="1">
      <c r="A151" s="48"/>
      <c r="B151" s="20"/>
      <c r="C151" s="138"/>
      <c r="D151" s="148"/>
      <c r="E151" s="143"/>
      <c r="F151" s="143"/>
      <c r="G151" s="195"/>
    </row>
    <row r="152" spans="1:7" ht="12.75" customHeight="1">
      <c r="A152" s="48"/>
      <c r="B152" s="20"/>
      <c r="C152" s="138"/>
      <c r="D152" s="148"/>
      <c r="E152" s="143"/>
      <c r="F152" s="143"/>
      <c r="G152" s="195"/>
    </row>
    <row r="153" spans="1:7" ht="12.75" customHeight="1">
      <c r="A153" s="48"/>
      <c r="B153" s="20"/>
      <c r="C153" s="138"/>
      <c r="D153" s="148"/>
      <c r="E153" s="143"/>
      <c r="F153" s="143"/>
      <c r="G153" s="195"/>
    </row>
    <row r="154" spans="1:7" ht="12.75" customHeight="1">
      <c r="A154" s="48"/>
      <c r="B154" s="20"/>
      <c r="C154" s="138"/>
      <c r="D154" s="148"/>
      <c r="E154" s="143"/>
      <c r="F154" s="143"/>
      <c r="G154" s="195"/>
    </row>
    <row r="155" spans="1:7" ht="12.75" customHeight="1">
      <c r="A155" s="48"/>
      <c r="B155" s="20"/>
      <c r="C155" s="138"/>
      <c r="D155" s="148"/>
      <c r="E155" s="143"/>
      <c r="F155" s="143"/>
      <c r="G155" s="195"/>
    </row>
    <row r="156" spans="1:7" ht="12.75" customHeight="1">
      <c r="A156" s="48"/>
      <c r="B156" s="20"/>
      <c r="C156" s="138"/>
      <c r="D156" s="148"/>
      <c r="E156" s="143"/>
      <c r="F156" s="143"/>
      <c r="G156" s="195"/>
    </row>
    <row r="157" spans="1:7" ht="12.75" customHeight="1">
      <c r="A157" s="48"/>
      <c r="B157" s="20"/>
      <c r="C157" s="138"/>
      <c r="D157" s="148"/>
      <c r="E157" s="143"/>
      <c r="F157" s="143"/>
      <c r="G157" s="195"/>
    </row>
  </sheetData>
  <conditionalFormatting sqref="F8:F118">
    <cfRule type="cellIs" dxfId="12" priority="1" operator="equal">
      <formula>0</formula>
    </cfRule>
  </conditionalFormatting>
  <pageMargins left="0.78740157480314965" right="0.19685039370078741" top="0.19685039370078741" bottom="0.19685039370078741" header="0" footer="0.19685039370078741"/>
  <pageSetup paperSize="9" orientation="portrait" r:id="rId1"/>
  <headerFooter>
    <oddFooter>Stran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00"/>
  </sheetPr>
  <dimension ref="A1:G144"/>
  <sheetViews>
    <sheetView showZeros="0" topLeftCell="A101" workbookViewId="0">
      <selection activeCell="G133" sqref="G133"/>
    </sheetView>
  </sheetViews>
  <sheetFormatPr defaultRowHeight="12.75" customHeight="1"/>
  <cols>
    <col min="1" max="1" width="4.7109375" style="79" customWidth="1"/>
    <col min="2" max="2" width="30.7109375" style="79" customWidth="1"/>
    <col min="3" max="3" width="4.7109375" style="177" customWidth="1"/>
    <col min="4" max="4" width="15.7109375" style="168" customWidth="1"/>
    <col min="5" max="6" width="11.7109375" style="168" customWidth="1"/>
    <col min="7" max="7" width="12.7109375" style="169" customWidth="1"/>
    <col min="244" max="244" width="4.7109375" customWidth="1"/>
    <col min="245" max="245" width="30.7109375" customWidth="1"/>
    <col min="246" max="246" width="4.7109375" customWidth="1"/>
    <col min="247" max="247" width="13.7109375" customWidth="1"/>
    <col min="248" max="250" width="12.7109375" customWidth="1"/>
    <col min="252" max="252" width="21" customWidth="1"/>
    <col min="253" max="253" width="36.5703125" customWidth="1"/>
    <col min="500" max="500" width="4.7109375" customWidth="1"/>
    <col min="501" max="501" width="30.7109375" customWidth="1"/>
    <col min="502" max="502" width="4.7109375" customWidth="1"/>
    <col min="503" max="503" width="13.7109375" customWidth="1"/>
    <col min="504" max="506" width="12.7109375" customWidth="1"/>
    <col min="508" max="508" width="21" customWidth="1"/>
    <col min="509" max="509" width="36.5703125" customWidth="1"/>
    <col min="756" max="756" width="4.7109375" customWidth="1"/>
    <col min="757" max="757" width="30.7109375" customWidth="1"/>
    <col min="758" max="758" width="4.7109375" customWidth="1"/>
    <col min="759" max="759" width="13.7109375" customWidth="1"/>
    <col min="760" max="762" width="12.7109375" customWidth="1"/>
    <col min="764" max="764" width="21" customWidth="1"/>
    <col min="765" max="765" width="36.5703125" customWidth="1"/>
    <col min="1012" max="1012" width="4.7109375" customWidth="1"/>
    <col min="1013" max="1013" width="30.7109375" customWidth="1"/>
    <col min="1014" max="1014" width="4.7109375" customWidth="1"/>
    <col min="1015" max="1015" width="13.7109375" customWidth="1"/>
    <col min="1016" max="1018" width="12.7109375" customWidth="1"/>
    <col min="1020" max="1020" width="21" customWidth="1"/>
    <col min="1021" max="1021" width="36.5703125" customWidth="1"/>
    <col min="1268" max="1268" width="4.7109375" customWidth="1"/>
    <col min="1269" max="1269" width="30.7109375" customWidth="1"/>
    <col min="1270" max="1270" width="4.7109375" customWidth="1"/>
    <col min="1271" max="1271" width="13.7109375" customWidth="1"/>
    <col min="1272" max="1274" width="12.7109375" customWidth="1"/>
    <col min="1276" max="1276" width="21" customWidth="1"/>
    <col min="1277" max="1277" width="36.5703125" customWidth="1"/>
    <col min="1524" max="1524" width="4.7109375" customWidth="1"/>
    <col min="1525" max="1525" width="30.7109375" customWidth="1"/>
    <col min="1526" max="1526" width="4.7109375" customWidth="1"/>
    <col min="1527" max="1527" width="13.7109375" customWidth="1"/>
    <col min="1528" max="1530" width="12.7109375" customWidth="1"/>
    <col min="1532" max="1532" width="21" customWidth="1"/>
    <col min="1533" max="1533" width="36.5703125" customWidth="1"/>
    <col min="1780" max="1780" width="4.7109375" customWidth="1"/>
    <col min="1781" max="1781" width="30.7109375" customWidth="1"/>
    <col min="1782" max="1782" width="4.7109375" customWidth="1"/>
    <col min="1783" max="1783" width="13.7109375" customWidth="1"/>
    <col min="1784" max="1786" width="12.7109375" customWidth="1"/>
    <col min="1788" max="1788" width="21" customWidth="1"/>
    <col min="1789" max="1789" width="36.5703125" customWidth="1"/>
    <col min="2036" max="2036" width="4.7109375" customWidth="1"/>
    <col min="2037" max="2037" width="30.7109375" customWidth="1"/>
    <col min="2038" max="2038" width="4.7109375" customWidth="1"/>
    <col min="2039" max="2039" width="13.7109375" customWidth="1"/>
    <col min="2040" max="2042" width="12.7109375" customWidth="1"/>
    <col min="2044" max="2044" width="21" customWidth="1"/>
    <col min="2045" max="2045" width="36.5703125" customWidth="1"/>
    <col min="2292" max="2292" width="4.7109375" customWidth="1"/>
    <col min="2293" max="2293" width="30.7109375" customWidth="1"/>
    <col min="2294" max="2294" width="4.7109375" customWidth="1"/>
    <col min="2295" max="2295" width="13.7109375" customWidth="1"/>
    <col min="2296" max="2298" width="12.7109375" customWidth="1"/>
    <col min="2300" max="2300" width="21" customWidth="1"/>
    <col min="2301" max="2301" width="36.5703125" customWidth="1"/>
    <col min="2548" max="2548" width="4.7109375" customWidth="1"/>
    <col min="2549" max="2549" width="30.7109375" customWidth="1"/>
    <col min="2550" max="2550" width="4.7109375" customWidth="1"/>
    <col min="2551" max="2551" width="13.7109375" customWidth="1"/>
    <col min="2552" max="2554" width="12.7109375" customWidth="1"/>
    <col min="2556" max="2556" width="21" customWidth="1"/>
    <col min="2557" max="2557" width="36.5703125" customWidth="1"/>
    <col min="2804" max="2804" width="4.7109375" customWidth="1"/>
    <col min="2805" max="2805" width="30.7109375" customWidth="1"/>
    <col min="2806" max="2806" width="4.7109375" customWidth="1"/>
    <col min="2807" max="2807" width="13.7109375" customWidth="1"/>
    <col min="2808" max="2810" width="12.7109375" customWidth="1"/>
    <col min="2812" max="2812" width="21" customWidth="1"/>
    <col min="2813" max="2813" width="36.5703125" customWidth="1"/>
    <col min="3060" max="3060" width="4.7109375" customWidth="1"/>
    <col min="3061" max="3061" width="30.7109375" customWidth="1"/>
    <col min="3062" max="3062" width="4.7109375" customWidth="1"/>
    <col min="3063" max="3063" width="13.7109375" customWidth="1"/>
    <col min="3064" max="3066" width="12.7109375" customWidth="1"/>
    <col min="3068" max="3068" width="21" customWidth="1"/>
    <col min="3069" max="3069" width="36.5703125" customWidth="1"/>
    <col min="3316" max="3316" width="4.7109375" customWidth="1"/>
    <col min="3317" max="3317" width="30.7109375" customWidth="1"/>
    <col min="3318" max="3318" width="4.7109375" customWidth="1"/>
    <col min="3319" max="3319" width="13.7109375" customWidth="1"/>
    <col min="3320" max="3322" width="12.7109375" customWidth="1"/>
    <col min="3324" max="3324" width="21" customWidth="1"/>
    <col min="3325" max="3325" width="36.5703125" customWidth="1"/>
    <col min="3572" max="3572" width="4.7109375" customWidth="1"/>
    <col min="3573" max="3573" width="30.7109375" customWidth="1"/>
    <col min="3574" max="3574" width="4.7109375" customWidth="1"/>
    <col min="3575" max="3575" width="13.7109375" customWidth="1"/>
    <col min="3576" max="3578" width="12.7109375" customWidth="1"/>
    <col min="3580" max="3580" width="21" customWidth="1"/>
    <col min="3581" max="3581" width="36.5703125" customWidth="1"/>
    <col min="3828" max="3828" width="4.7109375" customWidth="1"/>
    <col min="3829" max="3829" width="30.7109375" customWidth="1"/>
    <col min="3830" max="3830" width="4.7109375" customWidth="1"/>
    <col min="3831" max="3831" width="13.7109375" customWidth="1"/>
    <col min="3832" max="3834" width="12.7109375" customWidth="1"/>
    <col min="3836" max="3836" width="21" customWidth="1"/>
    <col min="3837" max="3837" width="36.5703125" customWidth="1"/>
    <col min="4084" max="4084" width="4.7109375" customWidth="1"/>
    <col min="4085" max="4085" width="30.7109375" customWidth="1"/>
    <col min="4086" max="4086" width="4.7109375" customWidth="1"/>
    <col min="4087" max="4087" width="13.7109375" customWidth="1"/>
    <col min="4088" max="4090" width="12.7109375" customWidth="1"/>
    <col min="4092" max="4092" width="21" customWidth="1"/>
    <col min="4093" max="4093" width="36.5703125" customWidth="1"/>
    <col min="4340" max="4340" width="4.7109375" customWidth="1"/>
    <col min="4341" max="4341" width="30.7109375" customWidth="1"/>
    <col min="4342" max="4342" width="4.7109375" customWidth="1"/>
    <col min="4343" max="4343" width="13.7109375" customWidth="1"/>
    <col min="4344" max="4346" width="12.7109375" customWidth="1"/>
    <col min="4348" max="4348" width="21" customWidth="1"/>
    <col min="4349" max="4349" width="36.5703125" customWidth="1"/>
    <col min="4596" max="4596" width="4.7109375" customWidth="1"/>
    <col min="4597" max="4597" width="30.7109375" customWidth="1"/>
    <col min="4598" max="4598" width="4.7109375" customWidth="1"/>
    <col min="4599" max="4599" width="13.7109375" customWidth="1"/>
    <col min="4600" max="4602" width="12.7109375" customWidth="1"/>
    <col min="4604" max="4604" width="21" customWidth="1"/>
    <col min="4605" max="4605" width="36.5703125" customWidth="1"/>
    <col min="4852" max="4852" width="4.7109375" customWidth="1"/>
    <col min="4853" max="4853" width="30.7109375" customWidth="1"/>
    <col min="4854" max="4854" width="4.7109375" customWidth="1"/>
    <col min="4855" max="4855" width="13.7109375" customWidth="1"/>
    <col min="4856" max="4858" width="12.7109375" customWidth="1"/>
    <col min="4860" max="4860" width="21" customWidth="1"/>
    <col min="4861" max="4861" width="36.5703125" customWidth="1"/>
    <col min="5108" max="5108" width="4.7109375" customWidth="1"/>
    <col min="5109" max="5109" width="30.7109375" customWidth="1"/>
    <col min="5110" max="5110" width="4.7109375" customWidth="1"/>
    <col min="5111" max="5111" width="13.7109375" customWidth="1"/>
    <col min="5112" max="5114" width="12.7109375" customWidth="1"/>
    <col min="5116" max="5116" width="21" customWidth="1"/>
    <col min="5117" max="5117" width="36.5703125" customWidth="1"/>
    <col min="5364" max="5364" width="4.7109375" customWidth="1"/>
    <col min="5365" max="5365" width="30.7109375" customWidth="1"/>
    <col min="5366" max="5366" width="4.7109375" customWidth="1"/>
    <col min="5367" max="5367" width="13.7109375" customWidth="1"/>
    <col min="5368" max="5370" width="12.7109375" customWidth="1"/>
    <col min="5372" max="5372" width="21" customWidth="1"/>
    <col min="5373" max="5373" width="36.5703125" customWidth="1"/>
    <col min="5620" max="5620" width="4.7109375" customWidth="1"/>
    <col min="5621" max="5621" width="30.7109375" customWidth="1"/>
    <col min="5622" max="5622" width="4.7109375" customWidth="1"/>
    <col min="5623" max="5623" width="13.7109375" customWidth="1"/>
    <col min="5624" max="5626" width="12.7109375" customWidth="1"/>
    <col min="5628" max="5628" width="21" customWidth="1"/>
    <col min="5629" max="5629" width="36.5703125" customWidth="1"/>
    <col min="5876" max="5876" width="4.7109375" customWidth="1"/>
    <col min="5877" max="5877" width="30.7109375" customWidth="1"/>
    <col min="5878" max="5878" width="4.7109375" customWidth="1"/>
    <col min="5879" max="5879" width="13.7109375" customWidth="1"/>
    <col min="5880" max="5882" width="12.7109375" customWidth="1"/>
    <col min="5884" max="5884" width="21" customWidth="1"/>
    <col min="5885" max="5885" width="36.5703125" customWidth="1"/>
    <col min="6132" max="6132" width="4.7109375" customWidth="1"/>
    <col min="6133" max="6133" width="30.7109375" customWidth="1"/>
    <col min="6134" max="6134" width="4.7109375" customWidth="1"/>
    <col min="6135" max="6135" width="13.7109375" customWidth="1"/>
    <col min="6136" max="6138" width="12.7109375" customWidth="1"/>
    <col min="6140" max="6140" width="21" customWidth="1"/>
    <col min="6141" max="6141" width="36.5703125" customWidth="1"/>
    <col min="6388" max="6388" width="4.7109375" customWidth="1"/>
    <col min="6389" max="6389" width="30.7109375" customWidth="1"/>
    <col min="6390" max="6390" width="4.7109375" customWidth="1"/>
    <col min="6391" max="6391" width="13.7109375" customWidth="1"/>
    <col min="6392" max="6394" width="12.7109375" customWidth="1"/>
    <col min="6396" max="6396" width="21" customWidth="1"/>
    <col min="6397" max="6397" width="36.5703125" customWidth="1"/>
    <col min="6644" max="6644" width="4.7109375" customWidth="1"/>
    <col min="6645" max="6645" width="30.7109375" customWidth="1"/>
    <col min="6646" max="6646" width="4.7109375" customWidth="1"/>
    <col min="6647" max="6647" width="13.7109375" customWidth="1"/>
    <col min="6648" max="6650" width="12.7109375" customWidth="1"/>
    <col min="6652" max="6652" width="21" customWidth="1"/>
    <col min="6653" max="6653" width="36.5703125" customWidth="1"/>
    <col min="6900" max="6900" width="4.7109375" customWidth="1"/>
    <col min="6901" max="6901" width="30.7109375" customWidth="1"/>
    <col min="6902" max="6902" width="4.7109375" customWidth="1"/>
    <col min="6903" max="6903" width="13.7109375" customWidth="1"/>
    <col min="6904" max="6906" width="12.7109375" customWidth="1"/>
    <col min="6908" max="6908" width="21" customWidth="1"/>
    <col min="6909" max="6909" width="36.5703125" customWidth="1"/>
    <col min="7156" max="7156" width="4.7109375" customWidth="1"/>
    <col min="7157" max="7157" width="30.7109375" customWidth="1"/>
    <col min="7158" max="7158" width="4.7109375" customWidth="1"/>
    <col min="7159" max="7159" width="13.7109375" customWidth="1"/>
    <col min="7160" max="7162" width="12.7109375" customWidth="1"/>
    <col min="7164" max="7164" width="21" customWidth="1"/>
    <col min="7165" max="7165" width="36.5703125" customWidth="1"/>
    <col min="7412" max="7412" width="4.7109375" customWidth="1"/>
    <col min="7413" max="7413" width="30.7109375" customWidth="1"/>
    <col min="7414" max="7414" width="4.7109375" customWidth="1"/>
    <col min="7415" max="7415" width="13.7109375" customWidth="1"/>
    <col min="7416" max="7418" width="12.7109375" customWidth="1"/>
    <col min="7420" max="7420" width="21" customWidth="1"/>
    <col min="7421" max="7421" width="36.5703125" customWidth="1"/>
    <col min="7668" max="7668" width="4.7109375" customWidth="1"/>
    <col min="7669" max="7669" width="30.7109375" customWidth="1"/>
    <col min="7670" max="7670" width="4.7109375" customWidth="1"/>
    <col min="7671" max="7671" width="13.7109375" customWidth="1"/>
    <col min="7672" max="7674" width="12.7109375" customWidth="1"/>
    <col min="7676" max="7676" width="21" customWidth="1"/>
    <col min="7677" max="7677" width="36.5703125" customWidth="1"/>
    <col min="7924" max="7924" width="4.7109375" customWidth="1"/>
    <col min="7925" max="7925" width="30.7109375" customWidth="1"/>
    <col min="7926" max="7926" width="4.7109375" customWidth="1"/>
    <col min="7927" max="7927" width="13.7109375" customWidth="1"/>
    <col min="7928" max="7930" width="12.7109375" customWidth="1"/>
    <col min="7932" max="7932" width="21" customWidth="1"/>
    <col min="7933" max="7933" width="36.5703125" customWidth="1"/>
    <col min="8180" max="8180" width="4.7109375" customWidth="1"/>
    <col min="8181" max="8181" width="30.7109375" customWidth="1"/>
    <col min="8182" max="8182" width="4.7109375" customWidth="1"/>
    <col min="8183" max="8183" width="13.7109375" customWidth="1"/>
    <col min="8184" max="8186" width="12.7109375" customWidth="1"/>
    <col min="8188" max="8188" width="21" customWidth="1"/>
    <col min="8189" max="8189" width="36.5703125" customWidth="1"/>
    <col min="8436" max="8436" width="4.7109375" customWidth="1"/>
    <col min="8437" max="8437" width="30.7109375" customWidth="1"/>
    <col min="8438" max="8438" width="4.7109375" customWidth="1"/>
    <col min="8439" max="8439" width="13.7109375" customWidth="1"/>
    <col min="8440" max="8442" width="12.7109375" customWidth="1"/>
    <col min="8444" max="8444" width="21" customWidth="1"/>
    <col min="8445" max="8445" width="36.5703125" customWidth="1"/>
    <col min="8692" max="8692" width="4.7109375" customWidth="1"/>
    <col min="8693" max="8693" width="30.7109375" customWidth="1"/>
    <col min="8694" max="8694" width="4.7109375" customWidth="1"/>
    <col min="8695" max="8695" width="13.7109375" customWidth="1"/>
    <col min="8696" max="8698" width="12.7109375" customWidth="1"/>
    <col min="8700" max="8700" width="21" customWidth="1"/>
    <col min="8701" max="8701" width="36.5703125" customWidth="1"/>
    <col min="8948" max="8948" width="4.7109375" customWidth="1"/>
    <col min="8949" max="8949" width="30.7109375" customWidth="1"/>
    <col min="8950" max="8950" width="4.7109375" customWidth="1"/>
    <col min="8951" max="8951" width="13.7109375" customWidth="1"/>
    <col min="8952" max="8954" width="12.7109375" customWidth="1"/>
    <col min="8956" max="8956" width="21" customWidth="1"/>
    <col min="8957" max="8957" width="36.5703125" customWidth="1"/>
    <col min="9204" max="9204" width="4.7109375" customWidth="1"/>
    <col min="9205" max="9205" width="30.7109375" customWidth="1"/>
    <col min="9206" max="9206" width="4.7109375" customWidth="1"/>
    <col min="9207" max="9207" width="13.7109375" customWidth="1"/>
    <col min="9208" max="9210" width="12.7109375" customWidth="1"/>
    <col min="9212" max="9212" width="21" customWidth="1"/>
    <col min="9213" max="9213" width="36.5703125" customWidth="1"/>
    <col min="9460" max="9460" width="4.7109375" customWidth="1"/>
    <col min="9461" max="9461" width="30.7109375" customWidth="1"/>
    <col min="9462" max="9462" width="4.7109375" customWidth="1"/>
    <col min="9463" max="9463" width="13.7109375" customWidth="1"/>
    <col min="9464" max="9466" width="12.7109375" customWidth="1"/>
    <col min="9468" max="9468" width="21" customWidth="1"/>
    <col min="9469" max="9469" width="36.5703125" customWidth="1"/>
    <col min="9716" max="9716" width="4.7109375" customWidth="1"/>
    <col min="9717" max="9717" width="30.7109375" customWidth="1"/>
    <col min="9718" max="9718" width="4.7109375" customWidth="1"/>
    <col min="9719" max="9719" width="13.7109375" customWidth="1"/>
    <col min="9720" max="9722" width="12.7109375" customWidth="1"/>
    <col min="9724" max="9724" width="21" customWidth="1"/>
    <col min="9725" max="9725" width="36.5703125" customWidth="1"/>
    <col min="9972" max="9972" width="4.7109375" customWidth="1"/>
    <col min="9973" max="9973" width="30.7109375" customWidth="1"/>
    <col min="9974" max="9974" width="4.7109375" customWidth="1"/>
    <col min="9975" max="9975" width="13.7109375" customWidth="1"/>
    <col min="9976" max="9978" width="12.7109375" customWidth="1"/>
    <col min="9980" max="9980" width="21" customWidth="1"/>
    <col min="9981" max="9981" width="36.5703125" customWidth="1"/>
    <col min="10228" max="10228" width="4.7109375" customWidth="1"/>
    <col min="10229" max="10229" width="30.7109375" customWidth="1"/>
    <col min="10230" max="10230" width="4.7109375" customWidth="1"/>
    <col min="10231" max="10231" width="13.7109375" customWidth="1"/>
    <col min="10232" max="10234" width="12.7109375" customWidth="1"/>
    <col min="10236" max="10236" width="21" customWidth="1"/>
    <col min="10237" max="10237" width="36.5703125" customWidth="1"/>
    <col min="10484" max="10484" width="4.7109375" customWidth="1"/>
    <col min="10485" max="10485" width="30.7109375" customWidth="1"/>
    <col min="10486" max="10486" width="4.7109375" customWidth="1"/>
    <col min="10487" max="10487" width="13.7109375" customWidth="1"/>
    <col min="10488" max="10490" width="12.7109375" customWidth="1"/>
    <col min="10492" max="10492" width="21" customWidth="1"/>
    <col min="10493" max="10493" width="36.5703125" customWidth="1"/>
    <col min="10740" max="10740" width="4.7109375" customWidth="1"/>
    <col min="10741" max="10741" width="30.7109375" customWidth="1"/>
    <col min="10742" max="10742" width="4.7109375" customWidth="1"/>
    <col min="10743" max="10743" width="13.7109375" customWidth="1"/>
    <col min="10744" max="10746" width="12.7109375" customWidth="1"/>
    <col min="10748" max="10748" width="21" customWidth="1"/>
    <col min="10749" max="10749" width="36.5703125" customWidth="1"/>
    <col min="10996" max="10996" width="4.7109375" customWidth="1"/>
    <col min="10997" max="10997" width="30.7109375" customWidth="1"/>
    <col min="10998" max="10998" width="4.7109375" customWidth="1"/>
    <col min="10999" max="10999" width="13.7109375" customWidth="1"/>
    <col min="11000" max="11002" width="12.7109375" customWidth="1"/>
    <col min="11004" max="11004" width="21" customWidth="1"/>
    <col min="11005" max="11005" width="36.5703125" customWidth="1"/>
    <col min="11252" max="11252" width="4.7109375" customWidth="1"/>
    <col min="11253" max="11253" width="30.7109375" customWidth="1"/>
    <col min="11254" max="11254" width="4.7109375" customWidth="1"/>
    <col min="11255" max="11255" width="13.7109375" customWidth="1"/>
    <col min="11256" max="11258" width="12.7109375" customWidth="1"/>
    <col min="11260" max="11260" width="21" customWidth="1"/>
    <col min="11261" max="11261" width="36.5703125" customWidth="1"/>
    <col min="11508" max="11508" width="4.7109375" customWidth="1"/>
    <col min="11509" max="11509" width="30.7109375" customWidth="1"/>
    <col min="11510" max="11510" width="4.7109375" customWidth="1"/>
    <col min="11511" max="11511" width="13.7109375" customWidth="1"/>
    <col min="11512" max="11514" width="12.7109375" customWidth="1"/>
    <col min="11516" max="11516" width="21" customWidth="1"/>
    <col min="11517" max="11517" width="36.5703125" customWidth="1"/>
    <col min="11764" max="11764" width="4.7109375" customWidth="1"/>
    <col min="11765" max="11765" width="30.7109375" customWidth="1"/>
    <col min="11766" max="11766" width="4.7109375" customWidth="1"/>
    <col min="11767" max="11767" width="13.7109375" customWidth="1"/>
    <col min="11768" max="11770" width="12.7109375" customWidth="1"/>
    <col min="11772" max="11772" width="21" customWidth="1"/>
    <col min="11773" max="11773" width="36.5703125" customWidth="1"/>
    <col min="12020" max="12020" width="4.7109375" customWidth="1"/>
    <col min="12021" max="12021" width="30.7109375" customWidth="1"/>
    <col min="12022" max="12022" width="4.7109375" customWidth="1"/>
    <col min="12023" max="12023" width="13.7109375" customWidth="1"/>
    <col min="12024" max="12026" width="12.7109375" customWidth="1"/>
    <col min="12028" max="12028" width="21" customWidth="1"/>
    <col min="12029" max="12029" width="36.5703125" customWidth="1"/>
    <col min="12276" max="12276" width="4.7109375" customWidth="1"/>
    <col min="12277" max="12277" width="30.7109375" customWidth="1"/>
    <col min="12278" max="12278" width="4.7109375" customWidth="1"/>
    <col min="12279" max="12279" width="13.7109375" customWidth="1"/>
    <col min="12280" max="12282" width="12.7109375" customWidth="1"/>
    <col min="12284" max="12284" width="21" customWidth="1"/>
    <col min="12285" max="12285" width="36.5703125" customWidth="1"/>
    <col min="12532" max="12532" width="4.7109375" customWidth="1"/>
    <col min="12533" max="12533" width="30.7109375" customWidth="1"/>
    <col min="12534" max="12534" width="4.7109375" customWidth="1"/>
    <col min="12535" max="12535" width="13.7109375" customWidth="1"/>
    <col min="12536" max="12538" width="12.7109375" customWidth="1"/>
    <col min="12540" max="12540" width="21" customWidth="1"/>
    <col min="12541" max="12541" width="36.5703125" customWidth="1"/>
    <col min="12788" max="12788" width="4.7109375" customWidth="1"/>
    <col min="12789" max="12789" width="30.7109375" customWidth="1"/>
    <col min="12790" max="12790" width="4.7109375" customWidth="1"/>
    <col min="12791" max="12791" width="13.7109375" customWidth="1"/>
    <col min="12792" max="12794" width="12.7109375" customWidth="1"/>
    <col min="12796" max="12796" width="21" customWidth="1"/>
    <col min="12797" max="12797" width="36.5703125" customWidth="1"/>
    <col min="13044" max="13044" width="4.7109375" customWidth="1"/>
    <col min="13045" max="13045" width="30.7109375" customWidth="1"/>
    <col min="13046" max="13046" width="4.7109375" customWidth="1"/>
    <col min="13047" max="13047" width="13.7109375" customWidth="1"/>
    <col min="13048" max="13050" width="12.7109375" customWidth="1"/>
    <col min="13052" max="13052" width="21" customWidth="1"/>
    <col min="13053" max="13053" width="36.5703125" customWidth="1"/>
    <col min="13300" max="13300" width="4.7109375" customWidth="1"/>
    <col min="13301" max="13301" width="30.7109375" customWidth="1"/>
    <col min="13302" max="13302" width="4.7109375" customWidth="1"/>
    <col min="13303" max="13303" width="13.7109375" customWidth="1"/>
    <col min="13304" max="13306" width="12.7109375" customWidth="1"/>
    <col min="13308" max="13308" width="21" customWidth="1"/>
    <col min="13309" max="13309" width="36.5703125" customWidth="1"/>
    <col min="13556" max="13556" width="4.7109375" customWidth="1"/>
    <col min="13557" max="13557" width="30.7109375" customWidth="1"/>
    <col min="13558" max="13558" width="4.7109375" customWidth="1"/>
    <col min="13559" max="13559" width="13.7109375" customWidth="1"/>
    <col min="13560" max="13562" width="12.7109375" customWidth="1"/>
    <col min="13564" max="13564" width="21" customWidth="1"/>
    <col min="13565" max="13565" width="36.5703125" customWidth="1"/>
    <col min="13812" max="13812" width="4.7109375" customWidth="1"/>
    <col min="13813" max="13813" width="30.7109375" customWidth="1"/>
    <col min="13814" max="13814" width="4.7109375" customWidth="1"/>
    <col min="13815" max="13815" width="13.7109375" customWidth="1"/>
    <col min="13816" max="13818" width="12.7109375" customWidth="1"/>
    <col min="13820" max="13820" width="21" customWidth="1"/>
    <col min="13821" max="13821" width="36.5703125" customWidth="1"/>
    <col min="14068" max="14068" width="4.7109375" customWidth="1"/>
    <col min="14069" max="14069" width="30.7109375" customWidth="1"/>
    <col min="14070" max="14070" width="4.7109375" customWidth="1"/>
    <col min="14071" max="14071" width="13.7109375" customWidth="1"/>
    <col min="14072" max="14074" width="12.7109375" customWidth="1"/>
    <col min="14076" max="14076" width="21" customWidth="1"/>
    <col min="14077" max="14077" width="36.5703125" customWidth="1"/>
    <col min="14324" max="14324" width="4.7109375" customWidth="1"/>
    <col min="14325" max="14325" width="30.7109375" customWidth="1"/>
    <col min="14326" max="14326" width="4.7109375" customWidth="1"/>
    <col min="14327" max="14327" width="13.7109375" customWidth="1"/>
    <col min="14328" max="14330" width="12.7109375" customWidth="1"/>
    <col min="14332" max="14332" width="21" customWidth="1"/>
    <col min="14333" max="14333" width="36.5703125" customWidth="1"/>
    <col min="14580" max="14580" width="4.7109375" customWidth="1"/>
    <col min="14581" max="14581" width="30.7109375" customWidth="1"/>
    <col min="14582" max="14582" width="4.7109375" customWidth="1"/>
    <col min="14583" max="14583" width="13.7109375" customWidth="1"/>
    <col min="14584" max="14586" width="12.7109375" customWidth="1"/>
    <col min="14588" max="14588" width="21" customWidth="1"/>
    <col min="14589" max="14589" width="36.5703125" customWidth="1"/>
    <col min="14836" max="14836" width="4.7109375" customWidth="1"/>
    <col min="14837" max="14837" width="30.7109375" customWidth="1"/>
    <col min="14838" max="14838" width="4.7109375" customWidth="1"/>
    <col min="14839" max="14839" width="13.7109375" customWidth="1"/>
    <col min="14840" max="14842" width="12.7109375" customWidth="1"/>
    <col min="14844" max="14844" width="21" customWidth="1"/>
    <col min="14845" max="14845" width="36.5703125" customWidth="1"/>
    <col min="15092" max="15092" width="4.7109375" customWidth="1"/>
    <col min="15093" max="15093" width="30.7109375" customWidth="1"/>
    <col min="15094" max="15094" width="4.7109375" customWidth="1"/>
    <col min="15095" max="15095" width="13.7109375" customWidth="1"/>
    <col min="15096" max="15098" width="12.7109375" customWidth="1"/>
    <col min="15100" max="15100" width="21" customWidth="1"/>
    <col min="15101" max="15101" width="36.5703125" customWidth="1"/>
    <col min="15348" max="15348" width="4.7109375" customWidth="1"/>
    <col min="15349" max="15349" width="30.7109375" customWidth="1"/>
    <col min="15350" max="15350" width="4.7109375" customWidth="1"/>
    <col min="15351" max="15351" width="13.7109375" customWidth="1"/>
    <col min="15352" max="15354" width="12.7109375" customWidth="1"/>
    <col min="15356" max="15356" width="21" customWidth="1"/>
    <col min="15357" max="15357" width="36.5703125" customWidth="1"/>
    <col min="15604" max="15604" width="4.7109375" customWidth="1"/>
    <col min="15605" max="15605" width="30.7109375" customWidth="1"/>
    <col min="15606" max="15606" width="4.7109375" customWidth="1"/>
    <col min="15607" max="15607" width="13.7109375" customWidth="1"/>
    <col min="15608" max="15610" width="12.7109375" customWidth="1"/>
    <col min="15612" max="15612" width="21" customWidth="1"/>
    <col min="15613" max="15613" width="36.5703125" customWidth="1"/>
    <col min="15860" max="15860" width="4.7109375" customWidth="1"/>
    <col min="15861" max="15861" width="30.7109375" customWidth="1"/>
    <col min="15862" max="15862" width="4.7109375" customWidth="1"/>
    <col min="15863" max="15863" width="13.7109375" customWidth="1"/>
    <col min="15864" max="15866" width="12.7109375" customWidth="1"/>
    <col min="15868" max="15868" width="21" customWidth="1"/>
    <col min="15869" max="15869" width="36.5703125" customWidth="1"/>
    <col min="16116" max="16116" width="4.7109375" customWidth="1"/>
    <col min="16117" max="16117" width="30.7109375" customWidth="1"/>
    <col min="16118" max="16118" width="4.7109375" customWidth="1"/>
    <col min="16119" max="16119" width="13.7109375" customWidth="1"/>
    <col min="16120" max="16122" width="12.7109375" customWidth="1"/>
    <col min="16124" max="16124" width="21" customWidth="1"/>
    <col min="16125" max="16125" width="36.5703125" customWidth="1"/>
  </cols>
  <sheetData>
    <row r="1" spans="1:7" ht="12.75" customHeight="1">
      <c r="B1" s="104" t="s">
        <v>27</v>
      </c>
    </row>
    <row r="2" spans="1:7" ht="12.75" customHeight="1">
      <c r="B2" s="104" t="s">
        <v>28</v>
      </c>
    </row>
    <row r="3" spans="1:7" ht="12.75" customHeight="1">
      <c r="B3" s="105" t="s">
        <v>29</v>
      </c>
    </row>
    <row r="5" spans="1:7" ht="15.75">
      <c r="A5" s="22" t="s">
        <v>66</v>
      </c>
      <c r="B5" s="23" t="s">
        <v>65</v>
      </c>
      <c r="C5" s="131"/>
      <c r="D5" s="170"/>
      <c r="E5" s="171"/>
      <c r="F5" s="171"/>
      <c r="G5" s="144"/>
    </row>
    <row r="6" spans="1:7" ht="12.75" customHeight="1">
      <c r="A6" s="48"/>
      <c r="B6" s="49"/>
      <c r="C6" s="131"/>
      <c r="D6" s="170"/>
      <c r="E6" s="171"/>
      <c r="F6" s="171"/>
      <c r="G6" s="144"/>
    </row>
    <row r="7" spans="1:7" ht="128.25" customHeight="1">
      <c r="A7" s="48">
        <v>1</v>
      </c>
      <c r="B7" s="56" t="s">
        <v>432</v>
      </c>
      <c r="C7" s="36"/>
      <c r="D7" s="161"/>
      <c r="E7" s="161"/>
      <c r="F7" s="161"/>
      <c r="G7" s="189"/>
    </row>
    <row r="8" spans="1:7" ht="26.25">
      <c r="A8" s="48"/>
      <c r="B8" s="72" t="s">
        <v>32</v>
      </c>
      <c r="C8" s="36" t="s">
        <v>16</v>
      </c>
      <c r="D8" s="63" t="s">
        <v>135</v>
      </c>
      <c r="E8" s="63">
        <f>+(55+39+18+38)*0.75</f>
        <v>112.5</v>
      </c>
      <c r="F8" s="54"/>
      <c r="G8" s="248">
        <f t="shared" ref="G8:G19" si="0">E8*F8</f>
        <v>0</v>
      </c>
    </row>
    <row r="9" spans="1:7" ht="25.5">
      <c r="A9" s="48"/>
      <c r="B9" s="72" t="s">
        <v>33</v>
      </c>
      <c r="C9" s="36" t="s">
        <v>16</v>
      </c>
      <c r="D9" s="157" t="s">
        <v>136</v>
      </c>
      <c r="E9" s="67">
        <f>+(242.1-109)*0.65</f>
        <v>86.515000000000001</v>
      </c>
      <c r="F9" s="54"/>
      <c r="G9" s="248">
        <f t="shared" si="0"/>
        <v>0</v>
      </c>
    </row>
    <row r="10" spans="1:7" ht="12.75" customHeight="1">
      <c r="A10" s="48"/>
      <c r="B10" s="72" t="s">
        <v>34</v>
      </c>
      <c r="C10" s="36" t="s">
        <v>16</v>
      </c>
      <c r="D10" s="157" t="s">
        <v>137</v>
      </c>
      <c r="E10" s="157">
        <f>134.06*0.65</f>
        <v>87.13900000000001</v>
      </c>
      <c r="F10" s="161"/>
      <c r="G10" s="189">
        <f t="shared" si="0"/>
        <v>0</v>
      </c>
    </row>
    <row r="11" spans="1:7" ht="12.75" customHeight="1">
      <c r="A11" s="48"/>
      <c r="B11" s="72" t="s">
        <v>35</v>
      </c>
      <c r="C11" s="36" t="s">
        <v>16</v>
      </c>
      <c r="D11" s="157" t="s">
        <v>253</v>
      </c>
      <c r="E11" s="157">
        <f>38.05*0.65</f>
        <v>24.732499999999998</v>
      </c>
      <c r="F11" s="161"/>
      <c r="G11" s="189">
        <f t="shared" si="0"/>
        <v>0</v>
      </c>
    </row>
    <row r="12" spans="1:7" ht="12.75" customHeight="1">
      <c r="A12" s="48"/>
      <c r="B12" s="72" t="s">
        <v>36</v>
      </c>
      <c r="C12" s="36" t="s">
        <v>16</v>
      </c>
      <c r="D12" s="157">
        <v>0</v>
      </c>
      <c r="E12" s="157">
        <v>0</v>
      </c>
      <c r="F12" s="161"/>
      <c r="G12" s="189">
        <f t="shared" si="0"/>
        <v>0</v>
      </c>
    </row>
    <row r="13" spans="1:7" ht="12.75" customHeight="1">
      <c r="A13" s="48"/>
      <c r="B13" s="72" t="s">
        <v>37</v>
      </c>
      <c r="C13" s="36" t="s">
        <v>16</v>
      </c>
      <c r="D13" s="157">
        <v>0</v>
      </c>
      <c r="E13" s="157">
        <v>0</v>
      </c>
      <c r="F13" s="161"/>
      <c r="G13" s="189">
        <f t="shared" si="0"/>
        <v>0</v>
      </c>
    </row>
    <row r="14" spans="1:7" ht="12.75" customHeight="1">
      <c r="A14" s="48"/>
      <c r="B14" s="72" t="s">
        <v>47</v>
      </c>
      <c r="C14" s="36" t="s">
        <v>16</v>
      </c>
      <c r="D14" s="157" t="s">
        <v>138</v>
      </c>
      <c r="E14" s="157">
        <f>235.5*0.7</f>
        <v>164.85</v>
      </c>
      <c r="F14" s="161"/>
      <c r="G14" s="189">
        <f t="shared" si="0"/>
        <v>0</v>
      </c>
    </row>
    <row r="15" spans="1:7" ht="12.75" customHeight="1">
      <c r="A15" s="48"/>
      <c r="B15" s="72" t="s">
        <v>49</v>
      </c>
      <c r="C15" s="36" t="s">
        <v>16</v>
      </c>
      <c r="D15" s="157" t="s">
        <v>139</v>
      </c>
      <c r="E15" s="157">
        <f>98.79*0.65</f>
        <v>64.21350000000001</v>
      </c>
      <c r="F15" s="161"/>
      <c r="G15" s="189">
        <f t="shared" si="0"/>
        <v>0</v>
      </c>
    </row>
    <row r="16" spans="1:7" ht="12.75" customHeight="1">
      <c r="A16" s="48"/>
      <c r="B16" s="72" t="s">
        <v>48</v>
      </c>
      <c r="C16" s="36" t="s">
        <v>16</v>
      </c>
      <c r="D16" s="157" t="s">
        <v>140</v>
      </c>
      <c r="E16" s="157">
        <f>85.68*0.65</f>
        <v>55.692000000000007</v>
      </c>
      <c r="F16" s="161"/>
      <c r="G16" s="189">
        <f t="shared" si="0"/>
        <v>0</v>
      </c>
    </row>
    <row r="17" spans="1:7" ht="25.5">
      <c r="A17" s="48"/>
      <c r="B17" s="72" t="s">
        <v>50</v>
      </c>
      <c r="C17" s="36" t="s">
        <v>16</v>
      </c>
      <c r="D17" s="157" t="s">
        <v>149</v>
      </c>
      <c r="E17" s="157">
        <f>+(11+8+28+105)*0.8</f>
        <v>121.60000000000001</v>
      </c>
      <c r="F17" s="161"/>
      <c r="G17" s="189">
        <f t="shared" si="0"/>
        <v>0</v>
      </c>
    </row>
    <row r="18" spans="1:7" ht="12.75" customHeight="1">
      <c r="A18" s="48"/>
      <c r="B18" s="72" t="s">
        <v>51</v>
      </c>
      <c r="C18" s="36" t="s">
        <v>16</v>
      </c>
      <c r="D18" s="157" t="s">
        <v>141</v>
      </c>
      <c r="E18" s="157">
        <f>72.33*0.65</f>
        <v>47.014499999999998</v>
      </c>
      <c r="F18" s="161"/>
      <c r="G18" s="189">
        <f t="shared" si="0"/>
        <v>0</v>
      </c>
    </row>
    <row r="19" spans="1:7" ht="12.75" customHeight="1">
      <c r="A19" s="48"/>
      <c r="B19" s="72" t="s">
        <v>52</v>
      </c>
      <c r="C19" s="36" t="s">
        <v>16</v>
      </c>
      <c r="D19" s="157" t="s">
        <v>142</v>
      </c>
      <c r="E19" s="157">
        <f>157.99*0.7</f>
        <v>110.593</v>
      </c>
      <c r="F19" s="161"/>
      <c r="G19" s="189">
        <f t="shared" si="0"/>
        <v>0</v>
      </c>
    </row>
    <row r="20" spans="1:7" ht="12.75" customHeight="1">
      <c r="A20" s="48"/>
      <c r="B20" s="72"/>
      <c r="C20" s="131"/>
      <c r="D20" s="172"/>
      <c r="E20" s="172"/>
      <c r="F20" s="171"/>
      <c r="G20" s="144"/>
    </row>
    <row r="21" spans="1:7" ht="129.75" customHeight="1">
      <c r="A21" s="48">
        <f>+A7+1</f>
        <v>2</v>
      </c>
      <c r="B21" s="77" t="s">
        <v>72</v>
      </c>
      <c r="C21" s="135"/>
      <c r="D21" s="164"/>
      <c r="E21" s="164"/>
      <c r="F21" s="157"/>
      <c r="G21" s="190"/>
    </row>
    <row r="22" spans="1:7" ht="12.75" customHeight="1">
      <c r="A22" s="48"/>
      <c r="B22" s="72" t="s">
        <v>32</v>
      </c>
      <c r="C22" s="135" t="s">
        <v>17</v>
      </c>
      <c r="D22" s="164">
        <v>0</v>
      </c>
      <c r="E22" s="164">
        <v>0</v>
      </c>
      <c r="F22" s="157"/>
      <c r="G22" s="190">
        <f t="shared" ref="G22:G33" si="1">E22*F22</f>
        <v>0</v>
      </c>
    </row>
    <row r="23" spans="1:7" ht="12.75" customHeight="1">
      <c r="A23" s="48"/>
      <c r="B23" s="72" t="s">
        <v>33</v>
      </c>
      <c r="C23" s="135" t="s">
        <v>17</v>
      </c>
      <c r="D23" s="164">
        <v>0</v>
      </c>
      <c r="E23" s="164">
        <v>0</v>
      </c>
      <c r="F23" s="157"/>
      <c r="G23" s="190">
        <f t="shared" si="1"/>
        <v>0</v>
      </c>
    </row>
    <row r="24" spans="1:7" ht="12.75" customHeight="1">
      <c r="A24" s="48"/>
      <c r="B24" s="72" t="s">
        <v>34</v>
      </c>
      <c r="C24" s="135" t="s">
        <v>17</v>
      </c>
      <c r="D24" s="164">
        <v>0</v>
      </c>
      <c r="E24" s="164">
        <v>0</v>
      </c>
      <c r="F24" s="157"/>
      <c r="G24" s="190">
        <f t="shared" si="1"/>
        <v>0</v>
      </c>
    </row>
    <row r="25" spans="1:7" ht="12.75" customHeight="1">
      <c r="A25" s="48"/>
      <c r="B25" s="72" t="s">
        <v>35</v>
      </c>
      <c r="C25" s="135" t="s">
        <v>17</v>
      </c>
      <c r="D25" s="164">
        <v>0</v>
      </c>
      <c r="E25" s="164">
        <v>0</v>
      </c>
      <c r="F25" s="157"/>
      <c r="G25" s="190">
        <f t="shared" si="1"/>
        <v>0</v>
      </c>
    </row>
    <row r="26" spans="1:7" ht="12.75" customHeight="1">
      <c r="A26" s="48"/>
      <c r="B26" s="72" t="s">
        <v>36</v>
      </c>
      <c r="C26" s="135" t="s">
        <v>17</v>
      </c>
      <c r="D26" s="164">
        <v>0</v>
      </c>
      <c r="E26" s="164">
        <v>0</v>
      </c>
      <c r="F26" s="157"/>
      <c r="G26" s="190">
        <f t="shared" si="1"/>
        <v>0</v>
      </c>
    </row>
    <row r="27" spans="1:7" ht="12.75" customHeight="1">
      <c r="A27" s="48"/>
      <c r="B27" s="72" t="s">
        <v>37</v>
      </c>
      <c r="C27" s="135" t="s">
        <v>17</v>
      </c>
      <c r="D27" s="164">
        <v>0</v>
      </c>
      <c r="E27" s="164">
        <v>0</v>
      </c>
      <c r="F27" s="157"/>
      <c r="G27" s="190">
        <f t="shared" si="1"/>
        <v>0</v>
      </c>
    </row>
    <row r="28" spans="1:7" ht="12.75" customHeight="1">
      <c r="A28" s="48"/>
      <c r="B28" s="72" t="s">
        <v>47</v>
      </c>
      <c r="C28" s="135" t="s">
        <v>17</v>
      </c>
      <c r="D28" s="164">
        <v>0</v>
      </c>
      <c r="E28" s="164">
        <v>0</v>
      </c>
      <c r="F28" s="157"/>
      <c r="G28" s="190">
        <f t="shared" si="1"/>
        <v>0</v>
      </c>
    </row>
    <row r="29" spans="1:7" ht="12.75" customHeight="1">
      <c r="A29" s="48"/>
      <c r="B29" s="72" t="s">
        <v>49</v>
      </c>
      <c r="C29" s="135" t="s">
        <v>17</v>
      </c>
      <c r="D29" s="164">
        <v>0</v>
      </c>
      <c r="E29" s="164">
        <v>0</v>
      </c>
      <c r="F29" s="157"/>
      <c r="G29" s="190">
        <f t="shared" si="1"/>
        <v>0</v>
      </c>
    </row>
    <row r="30" spans="1:7" ht="12.75" customHeight="1">
      <c r="A30" s="48"/>
      <c r="B30" s="72" t="s">
        <v>48</v>
      </c>
      <c r="C30" s="135" t="s">
        <v>17</v>
      </c>
      <c r="D30" s="164">
        <v>0</v>
      </c>
      <c r="E30" s="164">
        <v>0</v>
      </c>
      <c r="F30" s="157"/>
      <c r="G30" s="190">
        <f t="shared" si="1"/>
        <v>0</v>
      </c>
    </row>
    <row r="31" spans="1:7" ht="12.75" customHeight="1">
      <c r="A31" s="48"/>
      <c r="B31" s="72" t="s">
        <v>50</v>
      </c>
      <c r="C31" s="135" t="s">
        <v>17</v>
      </c>
      <c r="D31" s="164" t="s">
        <v>217</v>
      </c>
      <c r="E31" s="164">
        <f>47*2.2</f>
        <v>103.4</v>
      </c>
      <c r="F31" s="157"/>
      <c r="G31" s="190">
        <f t="shared" si="1"/>
        <v>0</v>
      </c>
    </row>
    <row r="32" spans="1:7" ht="12.75" customHeight="1">
      <c r="A32" s="48"/>
      <c r="B32" s="72" t="s">
        <v>51</v>
      </c>
      <c r="C32" s="135" t="s">
        <v>17</v>
      </c>
      <c r="D32" s="164" t="s">
        <v>100</v>
      </c>
      <c r="E32" s="164">
        <f>40*5.6</f>
        <v>224</v>
      </c>
      <c r="F32" s="157"/>
      <c r="G32" s="190">
        <f t="shared" si="1"/>
        <v>0</v>
      </c>
    </row>
    <row r="33" spans="1:7" ht="12.75" customHeight="1">
      <c r="A33" s="48"/>
      <c r="B33" s="72" t="s">
        <v>52</v>
      </c>
      <c r="C33" s="135" t="s">
        <v>17</v>
      </c>
      <c r="D33" s="164">
        <v>0</v>
      </c>
      <c r="E33" s="164">
        <v>0</v>
      </c>
      <c r="F33" s="157"/>
      <c r="G33" s="190">
        <f t="shared" si="1"/>
        <v>0</v>
      </c>
    </row>
    <row r="34" spans="1:7" ht="12.75" customHeight="1">
      <c r="A34" s="48"/>
      <c r="B34" s="20"/>
      <c r="C34" s="131"/>
      <c r="D34" s="155"/>
      <c r="E34" s="171"/>
      <c r="F34" s="171"/>
      <c r="G34" s="144"/>
    </row>
    <row r="35" spans="1:7" ht="153.75" customHeight="1">
      <c r="A35" s="48">
        <f>+A21+1</f>
        <v>3</v>
      </c>
      <c r="B35" s="71" t="s">
        <v>74</v>
      </c>
      <c r="C35" s="178"/>
      <c r="D35" s="181"/>
      <c r="E35" s="181"/>
      <c r="F35" s="182"/>
      <c r="G35" s="183"/>
    </row>
    <row r="36" spans="1:7" ht="12.75" customHeight="1">
      <c r="A36" s="48"/>
      <c r="B36" s="72" t="s">
        <v>32</v>
      </c>
      <c r="C36" s="178" t="s">
        <v>16</v>
      </c>
      <c r="D36" s="181" t="s">
        <v>166</v>
      </c>
      <c r="E36" s="181">
        <f>59+11.5</f>
        <v>70.5</v>
      </c>
      <c r="F36" s="182"/>
      <c r="G36" s="183">
        <f t="shared" ref="G36" si="2">E36*F36</f>
        <v>0</v>
      </c>
    </row>
    <row r="37" spans="1:7" ht="12.75" customHeight="1">
      <c r="A37" s="48"/>
      <c r="B37" s="72" t="s">
        <v>33</v>
      </c>
      <c r="C37" s="178" t="s">
        <v>16</v>
      </c>
      <c r="D37" s="181">
        <v>0</v>
      </c>
      <c r="E37" s="181">
        <f t="shared" ref="E37:E47" si="3">+D37</f>
        <v>0</v>
      </c>
      <c r="F37" s="182"/>
      <c r="G37" s="183">
        <f t="shared" ref="G37:G47" si="4">E37*F37</f>
        <v>0</v>
      </c>
    </row>
    <row r="38" spans="1:7" ht="12.75" customHeight="1">
      <c r="A38" s="48"/>
      <c r="B38" s="72" t="s">
        <v>34</v>
      </c>
      <c r="C38" s="178" t="s">
        <v>16</v>
      </c>
      <c r="D38" s="181">
        <v>0</v>
      </c>
      <c r="E38" s="181">
        <f t="shared" si="3"/>
        <v>0</v>
      </c>
      <c r="F38" s="182"/>
      <c r="G38" s="183">
        <f t="shared" si="4"/>
        <v>0</v>
      </c>
    </row>
    <row r="39" spans="1:7" ht="12.75" customHeight="1">
      <c r="A39" s="48"/>
      <c r="B39" s="72" t="s">
        <v>35</v>
      </c>
      <c r="C39" s="178" t="s">
        <v>16</v>
      </c>
      <c r="D39" s="181">
        <v>0</v>
      </c>
      <c r="E39" s="181">
        <f t="shared" si="3"/>
        <v>0</v>
      </c>
      <c r="F39" s="182"/>
      <c r="G39" s="183">
        <f t="shared" si="4"/>
        <v>0</v>
      </c>
    </row>
    <row r="40" spans="1:7" ht="12.75" customHeight="1">
      <c r="A40" s="48"/>
      <c r="B40" s="72" t="s">
        <v>36</v>
      </c>
      <c r="C40" s="178" t="s">
        <v>16</v>
      </c>
      <c r="D40" s="161" t="s">
        <v>102</v>
      </c>
      <c r="E40" s="161">
        <f>32*1.2+4*2</f>
        <v>46.4</v>
      </c>
      <c r="F40" s="182"/>
      <c r="G40" s="183">
        <f t="shared" si="4"/>
        <v>0</v>
      </c>
    </row>
    <row r="41" spans="1:7" ht="12.75" customHeight="1">
      <c r="A41" s="48"/>
      <c r="B41" s="72" t="s">
        <v>37</v>
      </c>
      <c r="C41" s="178" t="s">
        <v>16</v>
      </c>
      <c r="D41" s="181">
        <v>0</v>
      </c>
      <c r="E41" s="181">
        <f t="shared" si="3"/>
        <v>0</v>
      </c>
      <c r="F41" s="182"/>
      <c r="G41" s="183">
        <f t="shared" si="4"/>
        <v>0</v>
      </c>
    </row>
    <row r="42" spans="1:7" ht="12.75" customHeight="1">
      <c r="A42" s="48"/>
      <c r="B42" s="72" t="s">
        <v>47</v>
      </c>
      <c r="C42" s="178" t="s">
        <v>16</v>
      </c>
      <c r="D42" s="181">
        <v>0</v>
      </c>
      <c r="E42" s="181">
        <f t="shared" si="3"/>
        <v>0</v>
      </c>
      <c r="F42" s="182"/>
      <c r="G42" s="183">
        <f t="shared" si="4"/>
        <v>0</v>
      </c>
    </row>
    <row r="43" spans="1:7" ht="12.75" customHeight="1">
      <c r="A43" s="48"/>
      <c r="B43" s="72" t="s">
        <v>49</v>
      </c>
      <c r="C43" s="178" t="s">
        <v>16</v>
      </c>
      <c r="D43" s="181">
        <v>0</v>
      </c>
      <c r="E43" s="181">
        <f t="shared" si="3"/>
        <v>0</v>
      </c>
      <c r="F43" s="182"/>
      <c r="G43" s="183">
        <f t="shared" si="4"/>
        <v>0</v>
      </c>
    </row>
    <row r="44" spans="1:7" ht="12.75" customHeight="1">
      <c r="A44" s="48"/>
      <c r="B44" s="72" t="s">
        <v>48</v>
      </c>
      <c r="C44" s="178" t="s">
        <v>16</v>
      </c>
      <c r="D44" s="181">
        <v>0</v>
      </c>
      <c r="E44" s="181">
        <f t="shared" si="3"/>
        <v>0</v>
      </c>
      <c r="F44" s="182"/>
      <c r="G44" s="183">
        <f t="shared" si="4"/>
        <v>0</v>
      </c>
    </row>
    <row r="45" spans="1:7" ht="12.75" customHeight="1">
      <c r="A45" s="48"/>
      <c r="B45" s="72" t="s">
        <v>50</v>
      </c>
      <c r="C45" s="178" t="s">
        <v>16</v>
      </c>
      <c r="D45" s="161" t="s">
        <v>101</v>
      </c>
      <c r="E45" s="161">
        <f>59*1.2</f>
        <v>70.8</v>
      </c>
      <c r="F45" s="182"/>
      <c r="G45" s="183">
        <f t="shared" si="4"/>
        <v>0</v>
      </c>
    </row>
    <row r="46" spans="1:7" ht="12.75" customHeight="1">
      <c r="A46" s="48"/>
      <c r="B46" s="72" t="s">
        <v>51</v>
      </c>
      <c r="C46" s="178" t="s">
        <v>16</v>
      </c>
      <c r="D46" s="181">
        <v>0</v>
      </c>
      <c r="E46" s="181">
        <f t="shared" si="3"/>
        <v>0</v>
      </c>
      <c r="F46" s="182"/>
      <c r="G46" s="183">
        <f t="shared" si="4"/>
        <v>0</v>
      </c>
    </row>
    <row r="47" spans="1:7" ht="12.75" customHeight="1">
      <c r="A47" s="48"/>
      <c r="B47" s="72" t="s">
        <v>52</v>
      </c>
      <c r="C47" s="178" t="s">
        <v>16</v>
      </c>
      <c r="D47" s="181">
        <v>0</v>
      </c>
      <c r="E47" s="181">
        <f t="shared" si="3"/>
        <v>0</v>
      </c>
      <c r="F47" s="182"/>
      <c r="G47" s="183">
        <f t="shared" si="4"/>
        <v>0</v>
      </c>
    </row>
    <row r="48" spans="1:7" ht="12.75" customHeight="1">
      <c r="A48" s="48"/>
      <c r="B48" s="49"/>
      <c r="C48" s="131"/>
      <c r="D48" s="170"/>
      <c r="E48" s="171"/>
      <c r="F48" s="171"/>
      <c r="G48" s="144"/>
    </row>
    <row r="49" spans="1:7" ht="166.5" customHeight="1">
      <c r="A49" s="48">
        <f>+A35+1</f>
        <v>4</v>
      </c>
      <c r="B49" s="71" t="s">
        <v>433</v>
      </c>
      <c r="C49" s="131"/>
      <c r="D49" s="130"/>
      <c r="E49" s="185"/>
      <c r="F49" s="453"/>
      <c r="G49" s="186"/>
    </row>
    <row r="50" spans="1:7" ht="12.75" customHeight="1">
      <c r="A50" s="48"/>
      <c r="B50" s="72" t="s">
        <v>32</v>
      </c>
      <c r="C50" s="131" t="s">
        <v>56</v>
      </c>
      <c r="D50" s="161" t="s">
        <v>167</v>
      </c>
      <c r="E50" s="161">
        <f>11.5*0.8+10*1.2</f>
        <v>21.200000000000003</v>
      </c>
      <c r="F50" s="171"/>
      <c r="G50" s="147">
        <f>E50*F50</f>
        <v>0</v>
      </c>
    </row>
    <row r="51" spans="1:7" ht="12.75" customHeight="1">
      <c r="A51" s="48"/>
      <c r="B51" s="72" t="s">
        <v>33</v>
      </c>
      <c r="C51" s="131" t="s">
        <v>56</v>
      </c>
      <c r="D51" s="161" t="s">
        <v>103</v>
      </c>
      <c r="E51" s="161">
        <f>+(2.5+2.5)*1.2</f>
        <v>6</v>
      </c>
      <c r="F51" s="171"/>
      <c r="G51" s="147">
        <f t="shared" ref="G51:G61" si="5">E51*F51</f>
        <v>0</v>
      </c>
    </row>
    <row r="52" spans="1:7" ht="12.75" customHeight="1">
      <c r="A52" s="48"/>
      <c r="B52" s="72" t="s">
        <v>34</v>
      </c>
      <c r="C52" s="131" t="s">
        <v>56</v>
      </c>
      <c r="D52" s="130">
        <v>0</v>
      </c>
      <c r="E52" s="175">
        <f t="shared" ref="E52:E55" si="6">+D52</f>
        <v>0</v>
      </c>
      <c r="F52" s="171"/>
      <c r="G52" s="147">
        <f t="shared" si="5"/>
        <v>0</v>
      </c>
    </row>
    <row r="53" spans="1:7" ht="12.75" customHeight="1">
      <c r="A53" s="48"/>
      <c r="B53" s="72" t="s">
        <v>35</v>
      </c>
      <c r="C53" s="131" t="s">
        <v>56</v>
      </c>
      <c r="D53" s="130">
        <v>0</v>
      </c>
      <c r="E53" s="175">
        <f t="shared" si="6"/>
        <v>0</v>
      </c>
      <c r="F53" s="171"/>
      <c r="G53" s="147">
        <f t="shared" si="5"/>
        <v>0</v>
      </c>
    </row>
    <row r="54" spans="1:7" ht="12.75" customHeight="1">
      <c r="A54" s="48"/>
      <c r="B54" s="72" t="s">
        <v>36</v>
      </c>
      <c r="C54" s="131" t="s">
        <v>56</v>
      </c>
      <c r="D54" s="130">
        <v>0</v>
      </c>
      <c r="E54" s="175">
        <f t="shared" si="6"/>
        <v>0</v>
      </c>
      <c r="F54" s="171"/>
      <c r="G54" s="147">
        <f t="shared" si="5"/>
        <v>0</v>
      </c>
    </row>
    <row r="55" spans="1:7" ht="12.75" customHeight="1">
      <c r="A55" s="48"/>
      <c r="B55" s="72" t="s">
        <v>37</v>
      </c>
      <c r="C55" s="131" t="s">
        <v>56</v>
      </c>
      <c r="D55" s="130">
        <v>0</v>
      </c>
      <c r="E55" s="175">
        <f t="shared" si="6"/>
        <v>0</v>
      </c>
      <c r="F55" s="171"/>
      <c r="G55" s="147">
        <f t="shared" si="5"/>
        <v>0</v>
      </c>
    </row>
    <row r="56" spans="1:7" ht="12.75" customHeight="1">
      <c r="A56" s="48"/>
      <c r="B56" s="72" t="s">
        <v>47</v>
      </c>
      <c r="C56" s="131" t="s">
        <v>56</v>
      </c>
      <c r="D56" s="130">
        <v>0</v>
      </c>
      <c r="E56" s="175">
        <f t="shared" ref="E56:E59" si="7">+D56</f>
        <v>0</v>
      </c>
      <c r="F56" s="171"/>
      <c r="G56" s="147">
        <f t="shared" si="5"/>
        <v>0</v>
      </c>
    </row>
    <row r="57" spans="1:7" ht="12.75" customHeight="1">
      <c r="A57" s="48"/>
      <c r="B57" s="72" t="s">
        <v>49</v>
      </c>
      <c r="C57" s="131" t="s">
        <v>56</v>
      </c>
      <c r="D57" s="130">
        <v>0</v>
      </c>
      <c r="E57" s="175">
        <f t="shared" si="7"/>
        <v>0</v>
      </c>
      <c r="F57" s="171"/>
      <c r="G57" s="147">
        <f t="shared" si="5"/>
        <v>0</v>
      </c>
    </row>
    <row r="58" spans="1:7" ht="12.75" customHeight="1">
      <c r="A58" s="48"/>
      <c r="B58" s="72" t="s">
        <v>48</v>
      </c>
      <c r="C58" s="131" t="s">
        <v>56</v>
      </c>
      <c r="D58" s="130">
        <v>0</v>
      </c>
      <c r="E58" s="175">
        <f t="shared" si="7"/>
        <v>0</v>
      </c>
      <c r="F58" s="171"/>
      <c r="G58" s="147">
        <f t="shared" si="5"/>
        <v>0</v>
      </c>
    </row>
    <row r="59" spans="1:7" ht="12.75" customHeight="1">
      <c r="A59" s="48"/>
      <c r="B59" s="72" t="s">
        <v>50</v>
      </c>
      <c r="C59" s="131" t="s">
        <v>56</v>
      </c>
      <c r="D59" s="130">
        <v>0</v>
      </c>
      <c r="E59" s="175">
        <f t="shared" si="7"/>
        <v>0</v>
      </c>
      <c r="F59" s="171"/>
      <c r="G59" s="147">
        <f t="shared" si="5"/>
        <v>0</v>
      </c>
    </row>
    <row r="60" spans="1:7" ht="12.75" customHeight="1">
      <c r="A60" s="48"/>
      <c r="B60" s="72" t="s">
        <v>51</v>
      </c>
      <c r="C60" s="131" t="s">
        <v>56</v>
      </c>
      <c r="D60" s="161" t="s">
        <v>104</v>
      </c>
      <c r="E60" s="161">
        <f>45*1.2</f>
        <v>54</v>
      </c>
      <c r="F60" s="171"/>
      <c r="G60" s="147">
        <f t="shared" si="5"/>
        <v>0</v>
      </c>
    </row>
    <row r="61" spans="1:7" ht="12.75" customHeight="1">
      <c r="A61" s="48"/>
      <c r="B61" s="72" t="s">
        <v>52</v>
      </c>
      <c r="C61" s="131" t="s">
        <v>56</v>
      </c>
      <c r="D61" s="130" t="s">
        <v>143</v>
      </c>
      <c r="E61" s="130">
        <f>2.5*1.5*4</f>
        <v>15</v>
      </c>
      <c r="F61" s="171"/>
      <c r="G61" s="147">
        <f t="shared" si="5"/>
        <v>0</v>
      </c>
    </row>
    <row r="62" spans="1:7" ht="12.75" customHeight="1">
      <c r="A62" s="48"/>
      <c r="B62" s="52"/>
      <c r="C62" s="134"/>
      <c r="D62" s="130"/>
      <c r="E62" s="175"/>
      <c r="F62" s="173"/>
      <c r="G62" s="147"/>
    </row>
    <row r="63" spans="1:7" ht="102">
      <c r="A63" s="48">
        <f>+A49+1</f>
        <v>5</v>
      </c>
      <c r="B63" s="128" t="s">
        <v>282</v>
      </c>
      <c r="C63" s="210"/>
      <c r="D63" s="161"/>
      <c r="E63" s="161"/>
      <c r="F63" s="213"/>
      <c r="G63" s="189"/>
    </row>
    <row r="64" spans="1:7" ht="12.75" customHeight="1">
      <c r="A64" s="48"/>
      <c r="B64" s="72" t="s">
        <v>32</v>
      </c>
      <c r="C64" s="210" t="s">
        <v>17</v>
      </c>
      <c r="D64" s="164" t="s">
        <v>96</v>
      </c>
      <c r="E64" s="57">
        <f>57*2.2+44*2.2</f>
        <v>222.20000000000002</v>
      </c>
      <c r="F64" s="236"/>
      <c r="G64" s="248">
        <f t="shared" ref="G64:G75" si="8">E64*F64</f>
        <v>0</v>
      </c>
    </row>
    <row r="65" spans="1:7" ht="12.75" customHeight="1">
      <c r="A65" s="48"/>
      <c r="B65" s="72" t="s">
        <v>33</v>
      </c>
      <c r="C65" s="210" t="s">
        <v>17</v>
      </c>
      <c r="D65" s="161" t="s">
        <v>144</v>
      </c>
      <c r="E65" s="161">
        <f>145*2.05</f>
        <v>297.25</v>
      </c>
      <c r="F65" s="213"/>
      <c r="G65" s="189">
        <f t="shared" si="8"/>
        <v>0</v>
      </c>
    </row>
    <row r="66" spans="1:7" ht="12.75" customHeight="1">
      <c r="A66" s="48"/>
      <c r="B66" s="72" t="s">
        <v>34</v>
      </c>
      <c r="C66" s="210" t="s">
        <v>17</v>
      </c>
      <c r="D66" s="161" t="s">
        <v>97</v>
      </c>
      <c r="E66" s="161">
        <f>138.06*2.1</f>
        <v>289.92600000000004</v>
      </c>
      <c r="F66" s="213"/>
      <c r="G66" s="189">
        <f t="shared" si="8"/>
        <v>0</v>
      </c>
    </row>
    <row r="67" spans="1:7" ht="12.75" customHeight="1">
      <c r="A67" s="48"/>
      <c r="B67" s="72" t="s">
        <v>35</v>
      </c>
      <c r="C67" s="210" t="s">
        <v>17</v>
      </c>
      <c r="D67" s="161" t="s">
        <v>258</v>
      </c>
      <c r="E67" s="161">
        <f>40*2.1</f>
        <v>84</v>
      </c>
      <c r="F67" s="213"/>
      <c r="G67" s="189">
        <f t="shared" si="8"/>
        <v>0</v>
      </c>
    </row>
    <row r="68" spans="1:7" ht="12.75" customHeight="1">
      <c r="A68" s="48"/>
      <c r="B68" s="72" t="s">
        <v>36</v>
      </c>
      <c r="C68" s="210" t="s">
        <v>17</v>
      </c>
      <c r="D68" s="161">
        <v>0</v>
      </c>
      <c r="E68" s="161">
        <v>0</v>
      </c>
      <c r="F68" s="213"/>
      <c r="G68" s="189">
        <f t="shared" si="8"/>
        <v>0</v>
      </c>
    </row>
    <row r="69" spans="1:7" ht="12.75" customHeight="1">
      <c r="A69" s="48"/>
      <c r="B69" s="72" t="s">
        <v>37</v>
      </c>
      <c r="C69" s="210" t="s">
        <v>17</v>
      </c>
      <c r="D69" s="161">
        <v>0</v>
      </c>
      <c r="E69" s="161">
        <v>0</v>
      </c>
      <c r="F69" s="213"/>
      <c r="G69" s="189">
        <f t="shared" si="8"/>
        <v>0</v>
      </c>
    </row>
    <row r="70" spans="1:7" ht="12.75" customHeight="1">
      <c r="A70" s="48"/>
      <c r="B70" s="72" t="s">
        <v>47</v>
      </c>
      <c r="C70" s="210" t="s">
        <v>17</v>
      </c>
      <c r="D70" s="161" t="s">
        <v>99</v>
      </c>
      <c r="E70" s="161">
        <f>239.5*2.3</f>
        <v>550.84999999999991</v>
      </c>
      <c r="F70" s="213"/>
      <c r="G70" s="189">
        <f t="shared" si="8"/>
        <v>0</v>
      </c>
    </row>
    <row r="71" spans="1:7" ht="12.75" customHeight="1">
      <c r="A71" s="48"/>
      <c r="B71" s="72" t="s">
        <v>49</v>
      </c>
      <c r="C71" s="210" t="s">
        <v>17</v>
      </c>
      <c r="D71" s="161">
        <v>0</v>
      </c>
      <c r="E71" s="164">
        <f>+D71</f>
        <v>0</v>
      </c>
      <c r="F71" s="213"/>
      <c r="G71" s="189">
        <f t="shared" si="8"/>
        <v>0</v>
      </c>
    </row>
    <row r="72" spans="1:7" ht="12.75" customHeight="1">
      <c r="A72" s="48"/>
      <c r="B72" s="72" t="s">
        <v>48</v>
      </c>
      <c r="C72" s="210" t="s">
        <v>17</v>
      </c>
      <c r="D72" s="161">
        <v>0</v>
      </c>
      <c r="E72" s="164">
        <f t="shared" ref="E72:E74" si="9">+D72</f>
        <v>0</v>
      </c>
      <c r="F72" s="213"/>
      <c r="G72" s="189">
        <f t="shared" si="8"/>
        <v>0</v>
      </c>
    </row>
    <row r="73" spans="1:7" ht="15">
      <c r="A73" s="48"/>
      <c r="B73" s="72" t="s">
        <v>50</v>
      </c>
      <c r="C73" s="210" t="s">
        <v>17</v>
      </c>
      <c r="D73" s="161" t="s">
        <v>206</v>
      </c>
      <c r="E73" s="161">
        <f>57*2.2</f>
        <v>125.4</v>
      </c>
      <c r="F73" s="213"/>
      <c r="G73" s="189">
        <f t="shared" si="8"/>
        <v>0</v>
      </c>
    </row>
    <row r="74" spans="1:7" ht="12.75" customHeight="1">
      <c r="A74" s="48"/>
      <c r="B74" s="72" t="s">
        <v>51</v>
      </c>
      <c r="C74" s="210" t="s">
        <v>17</v>
      </c>
      <c r="D74" s="161">
        <v>0</v>
      </c>
      <c r="E74" s="164">
        <f t="shared" si="9"/>
        <v>0</v>
      </c>
      <c r="F74" s="213"/>
      <c r="G74" s="189">
        <f t="shared" si="8"/>
        <v>0</v>
      </c>
    </row>
    <row r="75" spans="1:7" ht="12.75" customHeight="1">
      <c r="A75" s="48"/>
      <c r="B75" s="72" t="s">
        <v>52</v>
      </c>
      <c r="C75" s="210" t="s">
        <v>17</v>
      </c>
      <c r="D75" s="161">
        <v>0</v>
      </c>
      <c r="E75" s="161">
        <f t="shared" ref="E75" si="10">+D75</f>
        <v>0</v>
      </c>
      <c r="F75" s="213"/>
      <c r="G75" s="189">
        <f t="shared" si="8"/>
        <v>0</v>
      </c>
    </row>
    <row r="76" spans="1:7" ht="12.75" customHeight="1">
      <c r="A76" s="48"/>
      <c r="B76" s="52"/>
      <c r="C76" s="134"/>
      <c r="D76" s="130"/>
      <c r="E76" s="175"/>
      <c r="F76" s="173"/>
      <c r="G76" s="147"/>
    </row>
    <row r="77" spans="1:7" ht="51">
      <c r="A77" s="48">
        <f>+A63+1</f>
        <v>6</v>
      </c>
      <c r="B77" s="73" t="s">
        <v>75</v>
      </c>
      <c r="C77" s="211"/>
      <c r="D77" s="161"/>
      <c r="E77" s="161"/>
      <c r="F77" s="187"/>
      <c r="G77" s="189"/>
    </row>
    <row r="78" spans="1:7" ht="12.75" customHeight="1">
      <c r="A78" s="48"/>
      <c r="B78" s="72" t="s">
        <v>32</v>
      </c>
      <c r="C78" s="211" t="s">
        <v>17</v>
      </c>
      <c r="D78" s="161" t="s">
        <v>195</v>
      </c>
      <c r="E78" s="54">
        <f>57*5+44*4</f>
        <v>461</v>
      </c>
      <c r="F78" s="187"/>
      <c r="G78" s="189">
        <f t="shared" ref="G78:G89" si="11">E78*F78</f>
        <v>0</v>
      </c>
    </row>
    <row r="79" spans="1:7" ht="12.75" customHeight="1">
      <c r="A79" s="48"/>
      <c r="B79" s="72" t="s">
        <v>33</v>
      </c>
      <c r="C79" s="211" t="s">
        <v>17</v>
      </c>
      <c r="D79" s="161" t="s">
        <v>145</v>
      </c>
      <c r="E79" s="161">
        <f>135*4.5</f>
        <v>607.5</v>
      </c>
      <c r="F79" s="187"/>
      <c r="G79" s="189">
        <f t="shared" si="11"/>
        <v>0</v>
      </c>
    </row>
    <row r="80" spans="1:7" ht="12.75" customHeight="1">
      <c r="A80" s="48"/>
      <c r="B80" s="72" t="s">
        <v>34</v>
      </c>
      <c r="C80" s="211" t="s">
        <v>17</v>
      </c>
      <c r="D80" s="161" t="s">
        <v>146</v>
      </c>
      <c r="E80" s="161">
        <f>139*4</f>
        <v>556</v>
      </c>
      <c r="F80" s="187"/>
      <c r="G80" s="189">
        <f t="shared" si="11"/>
        <v>0</v>
      </c>
    </row>
    <row r="81" spans="1:7" ht="12.75" customHeight="1">
      <c r="A81" s="48"/>
      <c r="B81" s="72" t="s">
        <v>35</v>
      </c>
      <c r="C81" s="211" t="s">
        <v>17</v>
      </c>
      <c r="D81" s="161" t="s">
        <v>259</v>
      </c>
      <c r="E81" s="161">
        <f>40*4.5</f>
        <v>180</v>
      </c>
      <c r="F81" s="187"/>
      <c r="G81" s="189">
        <f t="shared" si="11"/>
        <v>0</v>
      </c>
    </row>
    <row r="82" spans="1:7" ht="12.75" customHeight="1">
      <c r="A82" s="48"/>
      <c r="B82" s="72" t="s">
        <v>36</v>
      </c>
      <c r="C82" s="211" t="s">
        <v>17</v>
      </c>
      <c r="D82" s="161">
        <v>0</v>
      </c>
      <c r="E82" s="161">
        <f t="shared" ref="E82:E83" si="12">+D82</f>
        <v>0</v>
      </c>
      <c r="F82" s="187"/>
      <c r="G82" s="189">
        <f t="shared" si="11"/>
        <v>0</v>
      </c>
    </row>
    <row r="83" spans="1:7" ht="12.75" customHeight="1">
      <c r="A83" s="48"/>
      <c r="B83" s="72" t="s">
        <v>37</v>
      </c>
      <c r="C83" s="211" t="s">
        <v>17</v>
      </c>
      <c r="D83" s="161">
        <v>0</v>
      </c>
      <c r="E83" s="161">
        <f t="shared" si="12"/>
        <v>0</v>
      </c>
      <c r="F83" s="187"/>
      <c r="G83" s="189">
        <f t="shared" si="11"/>
        <v>0</v>
      </c>
    </row>
    <row r="84" spans="1:7" ht="12.75" customHeight="1">
      <c r="A84" s="48"/>
      <c r="B84" s="72" t="s">
        <v>47</v>
      </c>
      <c r="C84" s="211" t="s">
        <v>17</v>
      </c>
      <c r="D84" s="161" t="s">
        <v>147</v>
      </c>
      <c r="E84" s="161">
        <f>239.5*5.5</f>
        <v>1317.25</v>
      </c>
      <c r="F84" s="187"/>
      <c r="G84" s="189">
        <f t="shared" si="11"/>
        <v>0</v>
      </c>
    </row>
    <row r="85" spans="1:7" ht="12.75" customHeight="1">
      <c r="A85" s="48"/>
      <c r="B85" s="72" t="s">
        <v>49</v>
      </c>
      <c r="C85" s="211" t="s">
        <v>17</v>
      </c>
      <c r="D85" s="161" t="s">
        <v>148</v>
      </c>
      <c r="E85" s="161">
        <f>70*3.5</f>
        <v>245</v>
      </c>
      <c r="F85" s="187"/>
      <c r="G85" s="189">
        <f t="shared" si="11"/>
        <v>0</v>
      </c>
    </row>
    <row r="86" spans="1:7" ht="12.75" customHeight="1">
      <c r="A86" s="48"/>
      <c r="B86" s="72" t="s">
        <v>48</v>
      </c>
      <c r="C86" s="211" t="s">
        <v>17</v>
      </c>
      <c r="D86" s="161">
        <v>0</v>
      </c>
      <c r="E86" s="161">
        <f t="shared" ref="E86" si="13">+D86</f>
        <v>0</v>
      </c>
      <c r="F86" s="187"/>
      <c r="G86" s="189">
        <f t="shared" si="11"/>
        <v>0</v>
      </c>
    </row>
    <row r="87" spans="1:7" ht="12.75" customHeight="1">
      <c r="A87" s="48"/>
      <c r="B87" s="72" t="s">
        <v>50</v>
      </c>
      <c r="C87" s="211" t="s">
        <v>17</v>
      </c>
      <c r="D87" s="157" t="s">
        <v>150</v>
      </c>
      <c r="E87" s="157">
        <f>+(11+8+28+105)*4</f>
        <v>608</v>
      </c>
      <c r="F87" s="187"/>
      <c r="G87" s="189">
        <f t="shared" si="11"/>
        <v>0</v>
      </c>
    </row>
    <row r="88" spans="1:7" ht="12.75" customHeight="1">
      <c r="A88" s="48"/>
      <c r="B88" s="72" t="s">
        <v>51</v>
      </c>
      <c r="C88" s="211" t="s">
        <v>17</v>
      </c>
      <c r="D88" s="161" t="s">
        <v>152</v>
      </c>
      <c r="E88" s="161">
        <f>28*3.5</f>
        <v>98</v>
      </c>
      <c r="F88" s="187"/>
      <c r="G88" s="189">
        <f t="shared" si="11"/>
        <v>0</v>
      </c>
    </row>
    <row r="89" spans="1:7" ht="12.75" customHeight="1">
      <c r="A89" s="48"/>
      <c r="B89" s="72" t="s">
        <v>52</v>
      </c>
      <c r="C89" s="211" t="s">
        <v>17</v>
      </c>
      <c r="D89" s="161">
        <v>0</v>
      </c>
      <c r="E89" s="161">
        <f t="shared" ref="E89" si="14">+D89</f>
        <v>0</v>
      </c>
      <c r="F89" s="187"/>
      <c r="G89" s="189">
        <f t="shared" si="11"/>
        <v>0</v>
      </c>
    </row>
    <row r="90" spans="1:7" ht="12.75" customHeight="1">
      <c r="A90" s="48"/>
      <c r="B90" s="72"/>
      <c r="C90" s="131"/>
      <c r="D90" s="155"/>
      <c r="E90" s="155"/>
      <c r="F90" s="172"/>
      <c r="G90" s="156"/>
    </row>
    <row r="91" spans="1:7" ht="89.25">
      <c r="A91" s="48">
        <f>+A77+1</f>
        <v>7</v>
      </c>
      <c r="B91" s="128" t="s">
        <v>434</v>
      </c>
      <c r="C91" s="212"/>
      <c r="D91" s="161"/>
      <c r="E91" s="161"/>
      <c r="F91" s="213"/>
      <c r="G91" s="189"/>
    </row>
    <row r="92" spans="1:7" ht="12.75" customHeight="1">
      <c r="A92" s="48"/>
      <c r="B92" s="72" t="s">
        <v>32</v>
      </c>
      <c r="C92" s="212" t="s">
        <v>17</v>
      </c>
      <c r="D92" s="161">
        <f t="shared" ref="D92:D103" si="15">+E78</f>
        <v>461</v>
      </c>
      <c r="E92" s="161">
        <f t="shared" ref="E92:E103" si="16">+D92</f>
        <v>461</v>
      </c>
      <c r="F92" s="213"/>
      <c r="G92" s="189">
        <f>E92*F92</f>
        <v>0</v>
      </c>
    </row>
    <row r="93" spans="1:7" ht="12.75" customHeight="1">
      <c r="A93" s="48"/>
      <c r="B93" s="72" t="s">
        <v>33</v>
      </c>
      <c r="C93" s="212" t="s">
        <v>17</v>
      </c>
      <c r="D93" s="161">
        <f t="shared" si="15"/>
        <v>607.5</v>
      </c>
      <c r="E93" s="161">
        <f t="shared" si="16"/>
        <v>607.5</v>
      </c>
      <c r="F93" s="213"/>
      <c r="G93" s="189">
        <f t="shared" ref="G93:G103" si="17">E93*F93</f>
        <v>0</v>
      </c>
    </row>
    <row r="94" spans="1:7" ht="12.75" customHeight="1">
      <c r="A94" s="48"/>
      <c r="B94" s="72" t="s">
        <v>34</v>
      </c>
      <c r="C94" s="212" t="s">
        <v>17</v>
      </c>
      <c r="D94" s="161">
        <f t="shared" si="15"/>
        <v>556</v>
      </c>
      <c r="E94" s="161">
        <f t="shared" si="16"/>
        <v>556</v>
      </c>
      <c r="F94" s="213"/>
      <c r="G94" s="189">
        <f t="shared" si="17"/>
        <v>0</v>
      </c>
    </row>
    <row r="95" spans="1:7" ht="12.75" customHeight="1">
      <c r="A95" s="48"/>
      <c r="B95" s="72" t="s">
        <v>35</v>
      </c>
      <c r="C95" s="212" t="s">
        <v>17</v>
      </c>
      <c r="D95" s="161">
        <f t="shared" si="15"/>
        <v>180</v>
      </c>
      <c r="E95" s="161">
        <f t="shared" si="16"/>
        <v>180</v>
      </c>
      <c r="F95" s="213"/>
      <c r="G95" s="189">
        <f t="shared" si="17"/>
        <v>0</v>
      </c>
    </row>
    <row r="96" spans="1:7" ht="12.75" customHeight="1">
      <c r="A96" s="48"/>
      <c r="B96" s="72" t="s">
        <v>36</v>
      </c>
      <c r="C96" s="212" t="s">
        <v>17</v>
      </c>
      <c r="D96" s="161">
        <f t="shared" si="15"/>
        <v>0</v>
      </c>
      <c r="E96" s="161">
        <f t="shared" si="16"/>
        <v>0</v>
      </c>
      <c r="F96" s="213"/>
      <c r="G96" s="189">
        <f t="shared" si="17"/>
        <v>0</v>
      </c>
    </row>
    <row r="97" spans="1:7" ht="12.75" customHeight="1">
      <c r="A97" s="48"/>
      <c r="B97" s="72" t="s">
        <v>37</v>
      </c>
      <c r="C97" s="212" t="s">
        <v>17</v>
      </c>
      <c r="D97" s="161">
        <f t="shared" si="15"/>
        <v>0</v>
      </c>
      <c r="E97" s="161">
        <f t="shared" si="16"/>
        <v>0</v>
      </c>
      <c r="F97" s="213"/>
      <c r="G97" s="189">
        <f t="shared" si="17"/>
        <v>0</v>
      </c>
    </row>
    <row r="98" spans="1:7" ht="12.75" customHeight="1">
      <c r="A98" s="48"/>
      <c r="B98" s="72" t="s">
        <v>47</v>
      </c>
      <c r="C98" s="212" t="s">
        <v>17</v>
      </c>
      <c r="D98" s="161">
        <f t="shared" si="15"/>
        <v>1317.25</v>
      </c>
      <c r="E98" s="161">
        <f t="shared" si="16"/>
        <v>1317.25</v>
      </c>
      <c r="F98" s="213"/>
      <c r="G98" s="189">
        <f t="shared" si="17"/>
        <v>0</v>
      </c>
    </row>
    <row r="99" spans="1:7" ht="12.75" customHeight="1">
      <c r="A99" s="48"/>
      <c r="B99" s="72" t="s">
        <v>49</v>
      </c>
      <c r="C99" s="212" t="s">
        <v>17</v>
      </c>
      <c r="D99" s="161">
        <f t="shared" si="15"/>
        <v>245</v>
      </c>
      <c r="E99" s="161">
        <f t="shared" si="16"/>
        <v>245</v>
      </c>
      <c r="F99" s="213"/>
      <c r="G99" s="189">
        <f t="shared" si="17"/>
        <v>0</v>
      </c>
    </row>
    <row r="100" spans="1:7" ht="12.75" customHeight="1">
      <c r="A100" s="48"/>
      <c r="B100" s="72" t="s">
        <v>48</v>
      </c>
      <c r="C100" s="212" t="s">
        <v>17</v>
      </c>
      <c r="D100" s="161">
        <f t="shared" si="15"/>
        <v>0</v>
      </c>
      <c r="E100" s="161">
        <f t="shared" si="16"/>
        <v>0</v>
      </c>
      <c r="F100" s="213"/>
      <c r="G100" s="189">
        <f t="shared" si="17"/>
        <v>0</v>
      </c>
    </row>
    <row r="101" spans="1:7" ht="12.75" customHeight="1">
      <c r="A101" s="48"/>
      <c r="B101" s="72" t="s">
        <v>50</v>
      </c>
      <c r="C101" s="212" t="s">
        <v>17</v>
      </c>
      <c r="D101" s="161">
        <f t="shared" si="15"/>
        <v>608</v>
      </c>
      <c r="E101" s="161">
        <f t="shared" si="16"/>
        <v>608</v>
      </c>
      <c r="F101" s="213"/>
      <c r="G101" s="189">
        <f t="shared" si="17"/>
        <v>0</v>
      </c>
    </row>
    <row r="102" spans="1:7" ht="12.75" customHeight="1">
      <c r="A102" s="48"/>
      <c r="B102" s="72" t="s">
        <v>51</v>
      </c>
      <c r="C102" s="212" t="s">
        <v>17</v>
      </c>
      <c r="D102" s="161">
        <f t="shared" si="15"/>
        <v>98</v>
      </c>
      <c r="E102" s="161">
        <f t="shared" si="16"/>
        <v>98</v>
      </c>
      <c r="F102" s="213"/>
      <c r="G102" s="189">
        <f t="shared" si="17"/>
        <v>0</v>
      </c>
    </row>
    <row r="103" spans="1:7" ht="12.75" customHeight="1">
      <c r="A103" s="48"/>
      <c r="B103" s="72" t="s">
        <v>52</v>
      </c>
      <c r="C103" s="212" t="s">
        <v>17</v>
      </c>
      <c r="D103" s="161">
        <f t="shared" si="15"/>
        <v>0</v>
      </c>
      <c r="E103" s="161">
        <f t="shared" si="16"/>
        <v>0</v>
      </c>
      <c r="F103" s="213"/>
      <c r="G103" s="189">
        <f t="shared" si="17"/>
        <v>0</v>
      </c>
    </row>
    <row r="104" spans="1:7" ht="12.75" customHeight="1">
      <c r="A104" s="48"/>
      <c r="B104" s="72"/>
      <c r="C104" s="131"/>
      <c r="D104" s="155"/>
      <c r="E104" s="155"/>
      <c r="F104" s="172"/>
      <c r="G104" s="156"/>
    </row>
    <row r="105" spans="1:7" ht="51">
      <c r="A105" s="48">
        <f>+A91+1</f>
        <v>8</v>
      </c>
      <c r="B105" s="74" t="s">
        <v>76</v>
      </c>
      <c r="C105" s="219"/>
      <c r="D105" s="218"/>
      <c r="E105" s="218"/>
      <c r="F105" s="54"/>
      <c r="G105" s="220"/>
    </row>
    <row r="106" spans="1:7" ht="12.75" customHeight="1">
      <c r="A106" s="48"/>
      <c r="B106" s="72" t="s">
        <v>32</v>
      </c>
      <c r="C106" s="92" t="s">
        <v>56</v>
      </c>
      <c r="D106" s="161" t="s">
        <v>168</v>
      </c>
      <c r="E106" s="161">
        <f>57+44</f>
        <v>101</v>
      </c>
      <c r="F106" s="161"/>
      <c r="G106" s="468">
        <f t="shared" ref="G106:G117" si="18">E106*F106</f>
        <v>0</v>
      </c>
    </row>
    <row r="107" spans="1:7" ht="12.75" customHeight="1">
      <c r="A107" s="48"/>
      <c r="B107" s="72" t="s">
        <v>33</v>
      </c>
      <c r="C107" s="92" t="s">
        <v>56</v>
      </c>
      <c r="D107" s="161">
        <v>135</v>
      </c>
      <c r="E107" s="161">
        <v>135</v>
      </c>
      <c r="F107" s="161"/>
      <c r="G107" s="468">
        <f t="shared" si="18"/>
        <v>0</v>
      </c>
    </row>
    <row r="108" spans="1:7" ht="12.75" customHeight="1">
      <c r="A108" s="48"/>
      <c r="B108" s="72" t="s">
        <v>34</v>
      </c>
      <c r="C108" s="92" t="s">
        <v>56</v>
      </c>
      <c r="D108" s="161">
        <v>139</v>
      </c>
      <c r="E108" s="161">
        <v>139</v>
      </c>
      <c r="F108" s="161"/>
      <c r="G108" s="468">
        <f t="shared" si="18"/>
        <v>0</v>
      </c>
    </row>
    <row r="109" spans="1:7" ht="12.75" customHeight="1">
      <c r="A109" s="48"/>
      <c r="B109" s="72" t="s">
        <v>35</v>
      </c>
      <c r="C109" s="92" t="s">
        <v>56</v>
      </c>
      <c r="D109" s="161">
        <v>40</v>
      </c>
      <c r="E109" s="161">
        <v>40</v>
      </c>
      <c r="F109" s="161"/>
      <c r="G109" s="468">
        <f t="shared" si="18"/>
        <v>0</v>
      </c>
    </row>
    <row r="110" spans="1:7" ht="12.75" customHeight="1">
      <c r="A110" s="48"/>
      <c r="B110" s="72" t="s">
        <v>36</v>
      </c>
      <c r="C110" s="92" t="s">
        <v>56</v>
      </c>
      <c r="D110" s="161">
        <v>0</v>
      </c>
      <c r="E110" s="161">
        <v>0</v>
      </c>
      <c r="F110" s="161"/>
      <c r="G110" s="468">
        <f t="shared" si="18"/>
        <v>0</v>
      </c>
    </row>
    <row r="111" spans="1:7" ht="12.75" customHeight="1">
      <c r="A111" s="48"/>
      <c r="B111" s="72" t="s">
        <v>37</v>
      </c>
      <c r="C111" s="92" t="s">
        <v>56</v>
      </c>
      <c r="D111" s="161">
        <v>0</v>
      </c>
      <c r="E111" s="161">
        <v>0</v>
      </c>
      <c r="F111" s="161"/>
      <c r="G111" s="468">
        <f t="shared" si="18"/>
        <v>0</v>
      </c>
    </row>
    <row r="112" spans="1:7" ht="12.75" customHeight="1">
      <c r="A112" s="48"/>
      <c r="B112" s="72" t="s">
        <v>47</v>
      </c>
      <c r="C112" s="92" t="s">
        <v>56</v>
      </c>
      <c r="D112" s="161">
        <v>239.5</v>
      </c>
      <c r="E112" s="161">
        <v>239.5</v>
      </c>
      <c r="F112" s="161"/>
      <c r="G112" s="468">
        <f t="shared" si="18"/>
        <v>0</v>
      </c>
    </row>
    <row r="113" spans="1:7" ht="12.75" customHeight="1">
      <c r="A113" s="48"/>
      <c r="B113" s="72" t="s">
        <v>49</v>
      </c>
      <c r="C113" s="92" t="s">
        <v>56</v>
      </c>
      <c r="D113" s="157">
        <v>70</v>
      </c>
      <c r="E113" s="157">
        <f>+D113</f>
        <v>70</v>
      </c>
      <c r="F113" s="161"/>
      <c r="G113" s="468">
        <f t="shared" si="18"/>
        <v>0</v>
      </c>
    </row>
    <row r="114" spans="1:7" ht="12.75" customHeight="1">
      <c r="A114" s="48"/>
      <c r="B114" s="72" t="s">
        <v>48</v>
      </c>
      <c r="C114" s="92" t="s">
        <v>56</v>
      </c>
      <c r="D114" s="157">
        <v>0</v>
      </c>
      <c r="E114" s="157">
        <f>+D114</f>
        <v>0</v>
      </c>
      <c r="F114" s="161"/>
      <c r="G114" s="468">
        <f t="shared" si="18"/>
        <v>0</v>
      </c>
    </row>
    <row r="115" spans="1:7" ht="12.75" customHeight="1">
      <c r="A115" s="48"/>
      <c r="B115" s="72" t="s">
        <v>50</v>
      </c>
      <c r="C115" s="92" t="s">
        <v>56</v>
      </c>
      <c r="D115" s="157" t="s">
        <v>151</v>
      </c>
      <c r="E115" s="157">
        <f>11+8+28+105</f>
        <v>152</v>
      </c>
      <c r="F115" s="161"/>
      <c r="G115" s="468">
        <f t="shared" si="18"/>
        <v>0</v>
      </c>
    </row>
    <row r="116" spans="1:7" ht="12.75" customHeight="1">
      <c r="A116" s="48"/>
      <c r="B116" s="72" t="s">
        <v>51</v>
      </c>
      <c r="C116" s="92" t="s">
        <v>56</v>
      </c>
      <c r="D116" s="157">
        <v>28</v>
      </c>
      <c r="E116" s="157">
        <f>+D116</f>
        <v>28</v>
      </c>
      <c r="F116" s="161"/>
      <c r="G116" s="468">
        <f t="shared" si="18"/>
        <v>0</v>
      </c>
    </row>
    <row r="117" spans="1:7" ht="12.75" customHeight="1">
      <c r="A117" s="48"/>
      <c r="B117" s="72" t="s">
        <v>52</v>
      </c>
      <c r="C117" s="92" t="s">
        <v>56</v>
      </c>
      <c r="D117" s="157">
        <v>0</v>
      </c>
      <c r="E117" s="157">
        <v>0</v>
      </c>
      <c r="F117" s="161"/>
      <c r="G117" s="468">
        <f t="shared" si="18"/>
        <v>0</v>
      </c>
    </row>
    <row r="118" spans="1:7" ht="12.75" customHeight="1">
      <c r="A118" s="48"/>
      <c r="B118" s="72"/>
      <c r="C118" s="134"/>
      <c r="D118" s="130"/>
      <c r="E118" s="130"/>
      <c r="F118" s="160"/>
      <c r="G118" s="154"/>
    </row>
    <row r="119" spans="1:7" ht="12.75" customHeight="1">
      <c r="A119" s="48"/>
      <c r="B119" s="56" t="s">
        <v>366</v>
      </c>
      <c r="C119" s="137"/>
      <c r="D119" s="164"/>
      <c r="E119" s="164"/>
      <c r="F119" s="165"/>
      <c r="G119" s="147"/>
    </row>
    <row r="120" spans="1:7" ht="12.75" customHeight="1">
      <c r="A120" s="48"/>
      <c r="B120" s="56"/>
      <c r="C120" s="137"/>
      <c r="D120" s="164"/>
      <c r="E120" s="217" t="s">
        <v>32</v>
      </c>
      <c r="F120" s="176"/>
      <c r="G120" s="150">
        <f t="shared" ref="G120:G131" si="19">+G106+G92+G78+G64+G50+G36+G22+G8</f>
        <v>0</v>
      </c>
    </row>
    <row r="121" spans="1:7" ht="12.75" customHeight="1">
      <c r="A121" s="48"/>
      <c r="B121" s="56"/>
      <c r="C121" s="137"/>
      <c r="D121" s="164"/>
      <c r="E121" s="217" t="s">
        <v>33</v>
      </c>
      <c r="F121" s="176"/>
      <c r="G121" s="150">
        <f t="shared" si="19"/>
        <v>0</v>
      </c>
    </row>
    <row r="122" spans="1:7" ht="12.75" customHeight="1">
      <c r="A122" s="48"/>
      <c r="B122" s="56"/>
      <c r="C122" s="137"/>
      <c r="D122" s="164"/>
      <c r="E122" s="217" t="s">
        <v>34</v>
      </c>
      <c r="F122" s="176"/>
      <c r="G122" s="150">
        <f t="shared" si="19"/>
        <v>0</v>
      </c>
    </row>
    <row r="123" spans="1:7" ht="12.75" customHeight="1">
      <c r="A123" s="48"/>
      <c r="B123" s="56"/>
      <c r="C123" s="137"/>
      <c r="D123" s="164"/>
      <c r="E123" s="217" t="s">
        <v>35</v>
      </c>
      <c r="F123" s="176"/>
      <c r="G123" s="150">
        <f t="shared" si="19"/>
        <v>0</v>
      </c>
    </row>
    <row r="124" spans="1:7" ht="12.75" customHeight="1">
      <c r="A124" s="48"/>
      <c r="B124" s="56"/>
      <c r="C124" s="137"/>
      <c r="D124" s="164"/>
      <c r="E124" s="217" t="s">
        <v>36</v>
      </c>
      <c r="F124" s="176"/>
      <c r="G124" s="150">
        <f t="shared" si="19"/>
        <v>0</v>
      </c>
    </row>
    <row r="125" spans="1:7" ht="12.75" customHeight="1">
      <c r="A125" s="48"/>
      <c r="B125" s="56"/>
      <c r="C125" s="137"/>
      <c r="D125" s="164"/>
      <c r="E125" s="217" t="s">
        <v>37</v>
      </c>
      <c r="F125" s="176"/>
      <c r="G125" s="150">
        <f t="shared" si="19"/>
        <v>0</v>
      </c>
    </row>
    <row r="126" spans="1:7" ht="12.75" customHeight="1">
      <c r="A126" s="48"/>
      <c r="B126" s="56"/>
      <c r="C126" s="137"/>
      <c r="D126" s="164"/>
      <c r="E126" s="217" t="s">
        <v>47</v>
      </c>
      <c r="F126" s="176"/>
      <c r="G126" s="150">
        <f t="shared" si="19"/>
        <v>0</v>
      </c>
    </row>
    <row r="127" spans="1:7" ht="12.75" customHeight="1">
      <c r="A127" s="48"/>
      <c r="B127" s="56"/>
      <c r="C127" s="137"/>
      <c r="D127" s="164"/>
      <c r="E127" s="217" t="s">
        <v>49</v>
      </c>
      <c r="F127" s="176"/>
      <c r="G127" s="150">
        <f t="shared" si="19"/>
        <v>0</v>
      </c>
    </row>
    <row r="128" spans="1:7" ht="12.75" customHeight="1">
      <c r="A128" s="48"/>
      <c r="B128" s="56"/>
      <c r="C128" s="137"/>
      <c r="D128" s="164"/>
      <c r="E128" s="217" t="s">
        <v>48</v>
      </c>
      <c r="F128" s="176"/>
      <c r="G128" s="150">
        <f t="shared" si="19"/>
        <v>0</v>
      </c>
    </row>
    <row r="129" spans="1:7" ht="12.75" customHeight="1">
      <c r="A129" s="48"/>
      <c r="B129" s="56"/>
      <c r="C129" s="137"/>
      <c r="D129" s="164"/>
      <c r="E129" s="217" t="s">
        <v>50</v>
      </c>
      <c r="F129" s="176"/>
      <c r="G129" s="150">
        <f t="shared" si="19"/>
        <v>0</v>
      </c>
    </row>
    <row r="130" spans="1:7" ht="12.75" customHeight="1">
      <c r="A130" s="48"/>
      <c r="B130" s="56"/>
      <c r="C130" s="137"/>
      <c r="D130" s="164"/>
      <c r="E130" s="217" t="s">
        <v>51</v>
      </c>
      <c r="F130" s="176"/>
      <c r="G130" s="150">
        <f t="shared" si="19"/>
        <v>0</v>
      </c>
    </row>
    <row r="131" spans="1:7" ht="12.75" customHeight="1">
      <c r="A131" s="48"/>
      <c r="B131" s="56"/>
      <c r="C131" s="137"/>
      <c r="D131" s="164"/>
      <c r="E131" s="217" t="s">
        <v>52</v>
      </c>
      <c r="F131" s="176"/>
      <c r="G131" s="150">
        <f t="shared" si="19"/>
        <v>0</v>
      </c>
    </row>
    <row r="132" spans="1:7" ht="12.75" customHeight="1">
      <c r="A132" s="48"/>
      <c r="B132" s="72"/>
      <c r="C132" s="78"/>
      <c r="D132" s="155"/>
      <c r="E132" s="171"/>
      <c r="F132" s="171"/>
      <c r="G132" s="144"/>
    </row>
    <row r="133" spans="1:7" ht="16.5" thickBot="1">
      <c r="A133" s="318" t="s">
        <v>66</v>
      </c>
      <c r="B133" s="322" t="s">
        <v>65</v>
      </c>
      <c r="C133" s="319"/>
      <c r="D133" s="320"/>
      <c r="E133" s="321"/>
      <c r="F133" s="127" t="s">
        <v>62</v>
      </c>
      <c r="G133" s="127">
        <f>SUM(G120:G131)</f>
        <v>0</v>
      </c>
    </row>
    <row r="134" spans="1:7" ht="12.75" customHeight="1" thickTop="1">
      <c r="A134" s="48"/>
      <c r="B134" s="20"/>
      <c r="C134" s="138"/>
      <c r="D134" s="155"/>
      <c r="E134" s="171"/>
      <c r="F134" s="171"/>
      <c r="G134" s="144"/>
    </row>
    <row r="135" spans="1:7" ht="12.75" customHeight="1">
      <c r="A135" s="48"/>
      <c r="B135" s="20"/>
      <c r="C135" s="138"/>
      <c r="D135" s="155"/>
      <c r="E135" s="171"/>
      <c r="F135" s="171"/>
      <c r="G135" s="144"/>
    </row>
    <row r="136" spans="1:7" ht="12.75" customHeight="1">
      <c r="A136" s="48"/>
      <c r="B136" s="59"/>
      <c r="C136" s="131"/>
      <c r="D136" s="155"/>
      <c r="E136" s="171"/>
      <c r="F136" s="171"/>
      <c r="G136" s="144"/>
    </row>
    <row r="137" spans="1:7" ht="12.75" customHeight="1">
      <c r="A137" s="48"/>
      <c r="B137" s="52"/>
      <c r="C137" s="131"/>
      <c r="D137" s="155"/>
      <c r="E137" s="171"/>
      <c r="F137" s="171"/>
      <c r="G137" s="144"/>
    </row>
    <row r="138" spans="1:7" ht="12.75" customHeight="1">
      <c r="A138" s="48"/>
      <c r="B138" s="52"/>
      <c r="C138" s="131"/>
      <c r="D138" s="155"/>
      <c r="E138" s="171"/>
      <c r="F138" s="171"/>
      <c r="G138" s="144"/>
    </row>
    <row r="139" spans="1:7" ht="12.75" customHeight="1">
      <c r="A139" s="48"/>
      <c r="B139" s="59"/>
      <c r="C139" s="131"/>
      <c r="D139" s="155"/>
      <c r="E139" s="155"/>
      <c r="F139" s="172"/>
      <c r="G139" s="156"/>
    </row>
    <row r="140" spans="1:7" ht="15">
      <c r="A140" s="48"/>
      <c r="B140" s="56"/>
      <c r="C140" s="36"/>
      <c r="D140" s="161"/>
      <c r="E140" s="161"/>
      <c r="F140" s="161"/>
      <c r="G140" s="189"/>
    </row>
    <row r="142" spans="1:7" ht="12.75" customHeight="1">
      <c r="B142" s="69"/>
      <c r="C142" s="134"/>
      <c r="D142" s="130"/>
      <c r="E142" s="130"/>
      <c r="F142" s="160"/>
      <c r="G142" s="154"/>
    </row>
    <row r="144" spans="1:7" ht="12.75" customHeight="1">
      <c r="B144" s="64"/>
      <c r="C144" s="139"/>
      <c r="D144" s="166"/>
      <c r="E144" s="166"/>
      <c r="F144" s="167"/>
      <c r="G144" s="147"/>
    </row>
  </sheetData>
  <conditionalFormatting sqref="F8:F117">
    <cfRule type="cellIs" dxfId="11" priority="1" operator="equal">
      <formula>0</formula>
    </cfRule>
  </conditionalFormatting>
  <pageMargins left="0.78740157480314965" right="0.19685039370078741" top="0.39370078740157483" bottom="0.59055118110236227" header="0.31496062992125984" footer="0.19685039370078741"/>
  <pageSetup paperSize="9" orientation="portrait" r:id="rId1"/>
  <headerFooter>
    <oddFooter>Stran &amp;P</oddFooter>
  </headerFooter>
  <ignoredErrors>
    <ignoredError sqref="E115 E40 E45 E60 E73"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M36"/>
  <sheetViews>
    <sheetView showZeros="0" workbookViewId="0">
      <selection activeCell="C34" sqref="C34"/>
    </sheetView>
  </sheetViews>
  <sheetFormatPr defaultRowHeight="12.75"/>
  <cols>
    <col min="1" max="1" width="4.7109375" style="92" customWidth="1"/>
    <col min="2" max="2" width="1.7109375" style="92" customWidth="1"/>
    <col min="3" max="3" width="19.7109375" style="16" customWidth="1"/>
    <col min="4" max="4" width="1.7109375" style="16" customWidth="1"/>
    <col min="5" max="5" width="19.7109375" style="53" customWidth="1"/>
    <col min="6" max="6" width="1.7109375" style="53" customWidth="1"/>
    <col min="7" max="7" width="19.7109375" style="83" customWidth="1"/>
    <col min="8" max="8" width="1.7109375" style="83" customWidth="1"/>
    <col min="9" max="9" width="19.7109375" style="84" customWidth="1"/>
    <col min="10" max="10" width="1.7109375" style="84" customWidth="1"/>
    <col min="11" max="11" width="19.7109375" style="84" customWidth="1"/>
    <col min="12" max="12" width="1.7109375" style="84" customWidth="1"/>
    <col min="13" max="13" width="20.7109375" style="84" customWidth="1"/>
    <col min="14" max="253" width="9.140625" style="4"/>
    <col min="254" max="254" width="17.5703125" style="4" customWidth="1"/>
    <col min="255" max="255" width="42.42578125" style="4" customWidth="1"/>
    <col min="256" max="256" width="9.140625" style="4"/>
    <col min="257" max="257" width="20.7109375" style="4" customWidth="1"/>
    <col min="258" max="509" width="9.140625" style="4"/>
    <col min="510" max="510" width="17.5703125" style="4" customWidth="1"/>
    <col min="511" max="511" width="42.42578125" style="4" customWidth="1"/>
    <col min="512" max="512" width="9.140625" style="4"/>
    <col min="513" max="513" width="20.7109375" style="4" customWidth="1"/>
    <col min="514" max="765" width="9.140625" style="4"/>
    <col min="766" max="766" width="17.5703125" style="4" customWidth="1"/>
    <col min="767" max="767" width="42.42578125" style="4" customWidth="1"/>
    <col min="768" max="768" width="9.140625" style="4"/>
    <col min="769" max="769" width="20.7109375" style="4" customWidth="1"/>
    <col min="770" max="1021" width="9.140625" style="4"/>
    <col min="1022" max="1022" width="17.5703125" style="4" customWidth="1"/>
    <col min="1023" max="1023" width="42.42578125" style="4" customWidth="1"/>
    <col min="1024" max="1024" width="9.140625" style="4"/>
    <col min="1025" max="1025" width="20.7109375" style="4" customWidth="1"/>
    <col min="1026" max="1277" width="9.140625" style="4"/>
    <col min="1278" max="1278" width="17.5703125" style="4" customWidth="1"/>
    <col min="1279" max="1279" width="42.42578125" style="4" customWidth="1"/>
    <col min="1280" max="1280" width="9.140625" style="4"/>
    <col min="1281" max="1281" width="20.7109375" style="4" customWidth="1"/>
    <col min="1282" max="1533" width="9.140625" style="4"/>
    <col min="1534" max="1534" width="17.5703125" style="4" customWidth="1"/>
    <col min="1535" max="1535" width="42.42578125" style="4" customWidth="1"/>
    <col min="1536" max="1536" width="9.140625" style="4"/>
    <col min="1537" max="1537" width="20.7109375" style="4" customWidth="1"/>
    <col min="1538" max="1789" width="9.140625" style="4"/>
    <col min="1790" max="1790" width="17.5703125" style="4" customWidth="1"/>
    <col min="1791" max="1791" width="42.42578125" style="4" customWidth="1"/>
    <col min="1792" max="1792" width="9.140625" style="4"/>
    <col min="1793" max="1793" width="20.7109375" style="4" customWidth="1"/>
    <col min="1794" max="2045" width="9.140625" style="4"/>
    <col min="2046" max="2046" width="17.5703125" style="4" customWidth="1"/>
    <col min="2047" max="2047" width="42.42578125" style="4" customWidth="1"/>
    <col min="2048" max="2048" width="9.140625" style="4"/>
    <col min="2049" max="2049" width="20.7109375" style="4" customWidth="1"/>
    <col min="2050" max="2301" width="9.140625" style="4"/>
    <col min="2302" max="2302" width="17.5703125" style="4" customWidth="1"/>
    <col min="2303" max="2303" width="42.42578125" style="4" customWidth="1"/>
    <col min="2304" max="2304" width="9.140625" style="4"/>
    <col min="2305" max="2305" width="20.7109375" style="4" customWidth="1"/>
    <col min="2306" max="2557" width="9.140625" style="4"/>
    <col min="2558" max="2558" width="17.5703125" style="4" customWidth="1"/>
    <col min="2559" max="2559" width="42.42578125" style="4" customWidth="1"/>
    <col min="2560" max="2560" width="9.140625" style="4"/>
    <col min="2561" max="2561" width="20.7109375" style="4" customWidth="1"/>
    <col min="2562" max="2813" width="9.140625" style="4"/>
    <col min="2814" max="2814" width="17.5703125" style="4" customWidth="1"/>
    <col min="2815" max="2815" width="42.42578125" style="4" customWidth="1"/>
    <col min="2816" max="2816" width="9.140625" style="4"/>
    <col min="2817" max="2817" width="20.7109375" style="4" customWidth="1"/>
    <col min="2818" max="3069" width="9.140625" style="4"/>
    <col min="3070" max="3070" width="17.5703125" style="4" customWidth="1"/>
    <col min="3071" max="3071" width="42.42578125" style="4" customWidth="1"/>
    <col min="3072" max="3072" width="9.140625" style="4"/>
    <col min="3073" max="3073" width="20.7109375" style="4" customWidth="1"/>
    <col min="3074" max="3325" width="9.140625" style="4"/>
    <col min="3326" max="3326" width="17.5703125" style="4" customWidth="1"/>
    <col min="3327" max="3327" width="42.42578125" style="4" customWidth="1"/>
    <col min="3328" max="3328" width="9.140625" style="4"/>
    <col min="3329" max="3329" width="20.7109375" style="4" customWidth="1"/>
    <col min="3330" max="3581" width="9.140625" style="4"/>
    <col min="3582" max="3582" width="17.5703125" style="4" customWidth="1"/>
    <col min="3583" max="3583" width="42.42578125" style="4" customWidth="1"/>
    <col min="3584" max="3584" width="9.140625" style="4"/>
    <col min="3585" max="3585" width="20.7109375" style="4" customWidth="1"/>
    <col min="3586" max="3837" width="9.140625" style="4"/>
    <col min="3838" max="3838" width="17.5703125" style="4" customWidth="1"/>
    <col min="3839" max="3839" width="42.42578125" style="4" customWidth="1"/>
    <col min="3840" max="3840" width="9.140625" style="4"/>
    <col min="3841" max="3841" width="20.7109375" style="4" customWidth="1"/>
    <col min="3842" max="4093" width="9.140625" style="4"/>
    <col min="4094" max="4094" width="17.5703125" style="4" customWidth="1"/>
    <col min="4095" max="4095" width="42.42578125" style="4" customWidth="1"/>
    <col min="4096" max="4096" width="9.140625" style="4"/>
    <col min="4097" max="4097" width="20.7109375" style="4" customWidth="1"/>
    <col min="4098" max="4349" width="9.140625" style="4"/>
    <col min="4350" max="4350" width="17.5703125" style="4" customWidth="1"/>
    <col min="4351" max="4351" width="42.42578125" style="4" customWidth="1"/>
    <col min="4352" max="4352" width="9.140625" style="4"/>
    <col min="4353" max="4353" width="20.7109375" style="4" customWidth="1"/>
    <col min="4354" max="4605" width="9.140625" style="4"/>
    <col min="4606" max="4606" width="17.5703125" style="4" customWidth="1"/>
    <col min="4607" max="4607" width="42.42578125" style="4" customWidth="1"/>
    <col min="4608" max="4608" width="9.140625" style="4"/>
    <col min="4609" max="4609" width="20.7109375" style="4" customWidth="1"/>
    <col min="4610" max="4861" width="9.140625" style="4"/>
    <col min="4862" max="4862" width="17.5703125" style="4" customWidth="1"/>
    <col min="4863" max="4863" width="42.42578125" style="4" customWidth="1"/>
    <col min="4864" max="4864" width="9.140625" style="4"/>
    <col min="4865" max="4865" width="20.7109375" style="4" customWidth="1"/>
    <col min="4866" max="5117" width="9.140625" style="4"/>
    <col min="5118" max="5118" width="17.5703125" style="4" customWidth="1"/>
    <col min="5119" max="5119" width="42.42578125" style="4" customWidth="1"/>
    <col min="5120" max="5120" width="9.140625" style="4"/>
    <col min="5121" max="5121" width="20.7109375" style="4" customWidth="1"/>
    <col min="5122" max="5373" width="9.140625" style="4"/>
    <col min="5374" max="5374" width="17.5703125" style="4" customWidth="1"/>
    <col min="5375" max="5375" width="42.42578125" style="4" customWidth="1"/>
    <col min="5376" max="5376" width="9.140625" style="4"/>
    <col min="5377" max="5377" width="20.7109375" style="4" customWidth="1"/>
    <col min="5378" max="5629" width="9.140625" style="4"/>
    <col min="5630" max="5630" width="17.5703125" style="4" customWidth="1"/>
    <col min="5631" max="5631" width="42.42578125" style="4" customWidth="1"/>
    <col min="5632" max="5632" width="9.140625" style="4"/>
    <col min="5633" max="5633" width="20.7109375" style="4" customWidth="1"/>
    <col min="5634" max="5885" width="9.140625" style="4"/>
    <col min="5886" max="5886" width="17.5703125" style="4" customWidth="1"/>
    <col min="5887" max="5887" width="42.42578125" style="4" customWidth="1"/>
    <col min="5888" max="5888" width="9.140625" style="4"/>
    <col min="5889" max="5889" width="20.7109375" style="4" customWidth="1"/>
    <col min="5890" max="6141" width="9.140625" style="4"/>
    <col min="6142" max="6142" width="17.5703125" style="4" customWidth="1"/>
    <col min="6143" max="6143" width="42.42578125" style="4" customWidth="1"/>
    <col min="6144" max="6144" width="9.140625" style="4"/>
    <col min="6145" max="6145" width="20.7109375" style="4" customWidth="1"/>
    <col min="6146" max="6397" width="9.140625" style="4"/>
    <col min="6398" max="6398" width="17.5703125" style="4" customWidth="1"/>
    <col min="6399" max="6399" width="42.42578125" style="4" customWidth="1"/>
    <col min="6400" max="6400" width="9.140625" style="4"/>
    <col min="6401" max="6401" width="20.7109375" style="4" customWidth="1"/>
    <col min="6402" max="6653" width="9.140625" style="4"/>
    <col min="6654" max="6654" width="17.5703125" style="4" customWidth="1"/>
    <col min="6655" max="6655" width="42.42578125" style="4" customWidth="1"/>
    <col min="6656" max="6656" width="9.140625" style="4"/>
    <col min="6657" max="6657" width="20.7109375" style="4" customWidth="1"/>
    <col min="6658" max="6909" width="9.140625" style="4"/>
    <col min="6910" max="6910" width="17.5703125" style="4" customWidth="1"/>
    <col min="6911" max="6911" width="42.42578125" style="4" customWidth="1"/>
    <col min="6912" max="6912" width="9.140625" style="4"/>
    <col min="6913" max="6913" width="20.7109375" style="4" customWidth="1"/>
    <col min="6914" max="7165" width="9.140625" style="4"/>
    <col min="7166" max="7166" width="17.5703125" style="4" customWidth="1"/>
    <col min="7167" max="7167" width="42.42578125" style="4" customWidth="1"/>
    <col min="7168" max="7168" width="9.140625" style="4"/>
    <col min="7169" max="7169" width="20.7109375" style="4" customWidth="1"/>
    <col min="7170" max="7421" width="9.140625" style="4"/>
    <col min="7422" max="7422" width="17.5703125" style="4" customWidth="1"/>
    <col min="7423" max="7423" width="42.42578125" style="4" customWidth="1"/>
    <col min="7424" max="7424" width="9.140625" style="4"/>
    <col min="7425" max="7425" width="20.7109375" style="4" customWidth="1"/>
    <col min="7426" max="7677" width="9.140625" style="4"/>
    <col min="7678" max="7678" width="17.5703125" style="4" customWidth="1"/>
    <col min="7679" max="7679" width="42.42578125" style="4" customWidth="1"/>
    <col min="7680" max="7680" width="9.140625" style="4"/>
    <col min="7681" max="7681" width="20.7109375" style="4" customWidth="1"/>
    <col min="7682" max="7933" width="9.140625" style="4"/>
    <col min="7934" max="7934" width="17.5703125" style="4" customWidth="1"/>
    <col min="7935" max="7935" width="42.42578125" style="4" customWidth="1"/>
    <col min="7936" max="7936" width="9.140625" style="4"/>
    <col min="7937" max="7937" width="20.7109375" style="4" customWidth="1"/>
    <col min="7938" max="8189" width="9.140625" style="4"/>
    <col min="8190" max="8190" width="17.5703125" style="4" customWidth="1"/>
    <col min="8191" max="8191" width="42.42578125" style="4" customWidth="1"/>
    <col min="8192" max="8192" width="9.140625" style="4"/>
    <col min="8193" max="8193" width="20.7109375" style="4" customWidth="1"/>
    <col min="8194" max="8445" width="9.140625" style="4"/>
    <col min="8446" max="8446" width="17.5703125" style="4" customWidth="1"/>
    <col min="8447" max="8447" width="42.42578125" style="4" customWidth="1"/>
    <col min="8448" max="8448" width="9.140625" style="4"/>
    <col min="8449" max="8449" width="20.7109375" style="4" customWidth="1"/>
    <col min="8450" max="8701" width="9.140625" style="4"/>
    <col min="8702" max="8702" width="17.5703125" style="4" customWidth="1"/>
    <col min="8703" max="8703" width="42.42578125" style="4" customWidth="1"/>
    <col min="8704" max="8704" width="9.140625" style="4"/>
    <col min="8705" max="8705" width="20.7109375" style="4" customWidth="1"/>
    <col min="8706" max="8957" width="9.140625" style="4"/>
    <col min="8958" max="8958" width="17.5703125" style="4" customWidth="1"/>
    <col min="8959" max="8959" width="42.42578125" style="4" customWidth="1"/>
    <col min="8960" max="8960" width="9.140625" style="4"/>
    <col min="8961" max="8961" width="20.7109375" style="4" customWidth="1"/>
    <col min="8962" max="9213" width="9.140625" style="4"/>
    <col min="9214" max="9214" width="17.5703125" style="4" customWidth="1"/>
    <col min="9215" max="9215" width="42.42578125" style="4" customWidth="1"/>
    <col min="9216" max="9216" width="9.140625" style="4"/>
    <col min="9217" max="9217" width="20.7109375" style="4" customWidth="1"/>
    <col min="9218" max="9469" width="9.140625" style="4"/>
    <col min="9470" max="9470" width="17.5703125" style="4" customWidth="1"/>
    <col min="9471" max="9471" width="42.42578125" style="4" customWidth="1"/>
    <col min="9472" max="9472" width="9.140625" style="4"/>
    <col min="9473" max="9473" width="20.7109375" style="4" customWidth="1"/>
    <col min="9474" max="9725" width="9.140625" style="4"/>
    <col min="9726" max="9726" width="17.5703125" style="4" customWidth="1"/>
    <col min="9727" max="9727" width="42.42578125" style="4" customWidth="1"/>
    <col min="9728" max="9728" width="9.140625" style="4"/>
    <col min="9729" max="9729" width="20.7109375" style="4" customWidth="1"/>
    <col min="9730" max="9981" width="9.140625" style="4"/>
    <col min="9982" max="9982" width="17.5703125" style="4" customWidth="1"/>
    <col min="9983" max="9983" width="42.42578125" style="4" customWidth="1"/>
    <col min="9984" max="9984" width="9.140625" style="4"/>
    <col min="9985" max="9985" width="20.7109375" style="4" customWidth="1"/>
    <col min="9986" max="10237" width="9.140625" style="4"/>
    <col min="10238" max="10238" width="17.5703125" style="4" customWidth="1"/>
    <col min="10239" max="10239" width="42.42578125" style="4" customWidth="1"/>
    <col min="10240" max="10240" width="9.140625" style="4"/>
    <col min="10241" max="10241" width="20.7109375" style="4" customWidth="1"/>
    <col min="10242" max="10493" width="9.140625" style="4"/>
    <col min="10494" max="10494" width="17.5703125" style="4" customWidth="1"/>
    <col min="10495" max="10495" width="42.42578125" style="4" customWidth="1"/>
    <col min="10496" max="10496" width="9.140625" style="4"/>
    <col min="10497" max="10497" width="20.7109375" style="4" customWidth="1"/>
    <col min="10498" max="10749" width="9.140625" style="4"/>
    <col min="10750" max="10750" width="17.5703125" style="4" customWidth="1"/>
    <col min="10751" max="10751" width="42.42578125" style="4" customWidth="1"/>
    <col min="10752" max="10752" width="9.140625" style="4"/>
    <col min="10753" max="10753" width="20.7109375" style="4" customWidth="1"/>
    <col min="10754" max="11005" width="9.140625" style="4"/>
    <col min="11006" max="11006" width="17.5703125" style="4" customWidth="1"/>
    <col min="11007" max="11007" width="42.42578125" style="4" customWidth="1"/>
    <col min="11008" max="11008" width="9.140625" style="4"/>
    <col min="11009" max="11009" width="20.7109375" style="4" customWidth="1"/>
    <col min="11010" max="11261" width="9.140625" style="4"/>
    <col min="11262" max="11262" width="17.5703125" style="4" customWidth="1"/>
    <col min="11263" max="11263" width="42.42578125" style="4" customWidth="1"/>
    <col min="11264" max="11264" width="9.140625" style="4"/>
    <col min="11265" max="11265" width="20.7109375" style="4" customWidth="1"/>
    <col min="11266" max="11517" width="9.140625" style="4"/>
    <col min="11518" max="11518" width="17.5703125" style="4" customWidth="1"/>
    <col min="11519" max="11519" width="42.42578125" style="4" customWidth="1"/>
    <col min="11520" max="11520" width="9.140625" style="4"/>
    <col min="11521" max="11521" width="20.7109375" style="4" customWidth="1"/>
    <col min="11522" max="11773" width="9.140625" style="4"/>
    <col min="11774" max="11774" width="17.5703125" style="4" customWidth="1"/>
    <col min="11775" max="11775" width="42.42578125" style="4" customWidth="1"/>
    <col min="11776" max="11776" width="9.140625" style="4"/>
    <col min="11777" max="11777" width="20.7109375" style="4" customWidth="1"/>
    <col min="11778" max="12029" width="9.140625" style="4"/>
    <col min="12030" max="12030" width="17.5703125" style="4" customWidth="1"/>
    <col min="12031" max="12031" width="42.42578125" style="4" customWidth="1"/>
    <col min="12032" max="12032" width="9.140625" style="4"/>
    <col min="12033" max="12033" width="20.7109375" style="4" customWidth="1"/>
    <col min="12034" max="12285" width="9.140625" style="4"/>
    <col min="12286" max="12286" width="17.5703125" style="4" customWidth="1"/>
    <col min="12287" max="12287" width="42.42578125" style="4" customWidth="1"/>
    <col min="12288" max="12288" width="9.140625" style="4"/>
    <col min="12289" max="12289" width="20.7109375" style="4" customWidth="1"/>
    <col min="12290" max="12541" width="9.140625" style="4"/>
    <col min="12542" max="12542" width="17.5703125" style="4" customWidth="1"/>
    <col min="12543" max="12543" width="42.42578125" style="4" customWidth="1"/>
    <col min="12544" max="12544" width="9.140625" style="4"/>
    <col min="12545" max="12545" width="20.7109375" style="4" customWidth="1"/>
    <col min="12546" max="12797" width="9.140625" style="4"/>
    <col min="12798" max="12798" width="17.5703125" style="4" customWidth="1"/>
    <col min="12799" max="12799" width="42.42578125" style="4" customWidth="1"/>
    <col min="12800" max="12800" width="9.140625" style="4"/>
    <col min="12801" max="12801" width="20.7109375" style="4" customWidth="1"/>
    <col min="12802" max="13053" width="9.140625" style="4"/>
    <col min="13054" max="13054" width="17.5703125" style="4" customWidth="1"/>
    <col min="13055" max="13055" width="42.42578125" style="4" customWidth="1"/>
    <col min="13056" max="13056" width="9.140625" style="4"/>
    <col min="13057" max="13057" width="20.7109375" style="4" customWidth="1"/>
    <col min="13058" max="13309" width="9.140625" style="4"/>
    <col min="13310" max="13310" width="17.5703125" style="4" customWidth="1"/>
    <col min="13311" max="13311" width="42.42578125" style="4" customWidth="1"/>
    <col min="13312" max="13312" width="9.140625" style="4"/>
    <col min="13313" max="13313" width="20.7109375" style="4" customWidth="1"/>
    <col min="13314" max="13565" width="9.140625" style="4"/>
    <col min="13566" max="13566" width="17.5703125" style="4" customWidth="1"/>
    <col min="13567" max="13567" width="42.42578125" style="4" customWidth="1"/>
    <col min="13568" max="13568" width="9.140625" style="4"/>
    <col min="13569" max="13569" width="20.7109375" style="4" customWidth="1"/>
    <col min="13570" max="13821" width="9.140625" style="4"/>
    <col min="13822" max="13822" width="17.5703125" style="4" customWidth="1"/>
    <col min="13823" max="13823" width="42.42578125" style="4" customWidth="1"/>
    <col min="13824" max="13824" width="9.140625" style="4"/>
    <col min="13825" max="13825" width="20.7109375" style="4" customWidth="1"/>
    <col min="13826" max="14077" width="9.140625" style="4"/>
    <col min="14078" max="14078" width="17.5703125" style="4" customWidth="1"/>
    <col min="14079" max="14079" width="42.42578125" style="4" customWidth="1"/>
    <col min="14080" max="14080" width="9.140625" style="4"/>
    <col min="14081" max="14081" width="20.7109375" style="4" customWidth="1"/>
    <col min="14082" max="14333" width="9.140625" style="4"/>
    <col min="14334" max="14334" width="17.5703125" style="4" customWidth="1"/>
    <col min="14335" max="14335" width="42.42578125" style="4" customWidth="1"/>
    <col min="14336" max="14336" width="9.140625" style="4"/>
    <col min="14337" max="14337" width="20.7109375" style="4" customWidth="1"/>
    <col min="14338" max="14589" width="9.140625" style="4"/>
    <col min="14590" max="14590" width="17.5703125" style="4" customWidth="1"/>
    <col min="14591" max="14591" width="42.42578125" style="4" customWidth="1"/>
    <col min="14592" max="14592" width="9.140625" style="4"/>
    <col min="14593" max="14593" width="20.7109375" style="4" customWidth="1"/>
    <col min="14594" max="14845" width="9.140625" style="4"/>
    <col min="14846" max="14846" width="17.5703125" style="4" customWidth="1"/>
    <col min="14847" max="14847" width="42.42578125" style="4" customWidth="1"/>
    <col min="14848" max="14848" width="9.140625" style="4"/>
    <col min="14849" max="14849" width="20.7109375" style="4" customWidth="1"/>
    <col min="14850" max="15101" width="9.140625" style="4"/>
    <col min="15102" max="15102" width="17.5703125" style="4" customWidth="1"/>
    <col min="15103" max="15103" width="42.42578125" style="4" customWidth="1"/>
    <col min="15104" max="15104" width="9.140625" style="4"/>
    <col min="15105" max="15105" width="20.7109375" style="4" customWidth="1"/>
    <col min="15106" max="15357" width="9.140625" style="4"/>
    <col min="15358" max="15358" width="17.5703125" style="4" customWidth="1"/>
    <col min="15359" max="15359" width="42.42578125" style="4" customWidth="1"/>
    <col min="15360" max="15360" width="9.140625" style="4"/>
    <col min="15361" max="15361" width="20.7109375" style="4" customWidth="1"/>
    <col min="15362" max="15613" width="9.140625" style="4"/>
    <col min="15614" max="15614" width="17.5703125" style="4" customWidth="1"/>
    <col min="15615" max="15615" width="42.42578125" style="4" customWidth="1"/>
    <col min="15616" max="15616" width="9.140625" style="4"/>
    <col min="15617" max="15617" width="20.7109375" style="4" customWidth="1"/>
    <col min="15618" max="15869" width="9.140625" style="4"/>
    <col min="15870" max="15870" width="17.5703125" style="4" customWidth="1"/>
    <col min="15871" max="15871" width="42.42578125" style="4" customWidth="1"/>
    <col min="15872" max="15872" width="9.140625" style="4"/>
    <col min="15873" max="15873" width="20.7109375" style="4" customWidth="1"/>
    <col min="15874" max="16125" width="9.140625" style="4"/>
    <col min="16126" max="16126" width="17.5703125" style="4" customWidth="1"/>
    <col min="16127" max="16127" width="42.42578125" style="4" customWidth="1"/>
    <col min="16128" max="16128" width="9.140625" style="4"/>
    <col min="16129" max="16129" width="20.7109375" style="4" customWidth="1"/>
    <col min="16130" max="16384" width="9.140625" style="4"/>
  </cols>
  <sheetData>
    <row r="1" spans="1:13">
      <c r="E1" s="108" t="s">
        <v>27</v>
      </c>
      <c r="F1" s="108"/>
    </row>
    <row r="2" spans="1:13">
      <c r="E2" s="108" t="s">
        <v>28</v>
      </c>
      <c r="F2" s="108"/>
    </row>
    <row r="3" spans="1:13">
      <c r="E3" s="109" t="s">
        <v>29</v>
      </c>
      <c r="F3" s="109"/>
    </row>
    <row r="4" spans="1:13">
      <c r="E4" s="109"/>
      <c r="F4" s="109"/>
    </row>
    <row r="6" spans="1:13" ht="26.25">
      <c r="E6" s="110" t="s">
        <v>67</v>
      </c>
      <c r="F6" s="110"/>
      <c r="G6" s="111"/>
      <c r="H6" s="111"/>
      <c r="M6" s="112"/>
    </row>
    <row r="7" spans="1:13">
      <c r="E7" s="86"/>
      <c r="F7" s="86"/>
    </row>
    <row r="8" spans="1:13" s="97" customFormat="1" ht="19.5">
      <c r="A8" s="94"/>
      <c r="B8" s="94"/>
      <c r="C8" s="96"/>
      <c r="D8" s="96"/>
      <c r="E8" s="239" t="s">
        <v>57</v>
      </c>
      <c r="F8" s="239"/>
      <c r="G8" s="240" t="s">
        <v>158</v>
      </c>
      <c r="H8" s="240"/>
      <c r="I8" s="239" t="s">
        <v>58</v>
      </c>
      <c r="J8" s="239"/>
      <c r="K8" s="239" t="s">
        <v>59</v>
      </c>
      <c r="L8" s="241"/>
      <c r="M8" s="241" t="s">
        <v>60</v>
      </c>
    </row>
    <row r="9" spans="1:13" s="84" customFormat="1">
      <c r="A9" s="92"/>
      <c r="B9" s="92"/>
      <c r="C9" s="82"/>
      <c r="D9" s="82"/>
      <c r="E9" s="86"/>
      <c r="F9" s="86"/>
      <c r="G9" s="83"/>
      <c r="H9" s="83"/>
    </row>
    <row r="10" spans="1:13" s="88" customFormat="1" ht="15">
      <c r="A10" s="94">
        <v>1</v>
      </c>
      <c r="B10" s="94"/>
      <c r="C10" s="89" t="s">
        <v>68</v>
      </c>
      <c r="D10" s="89"/>
      <c r="E10" s="101">
        <f>prD!G68</f>
        <v>0</v>
      </c>
      <c r="F10" s="99"/>
      <c r="G10" s="100">
        <f>zbD!G98</f>
        <v>0</v>
      </c>
      <c r="H10" s="100"/>
      <c r="I10" s="101">
        <f>kanal!G110</f>
        <v>0</v>
      </c>
      <c r="J10" s="101"/>
      <c r="K10" s="101">
        <f>zakljuD!G38</f>
        <v>0</v>
      </c>
      <c r="M10" s="87">
        <f>+E10+G10+I10+K10</f>
        <v>0</v>
      </c>
    </row>
    <row r="11" spans="1:13" s="88" customFormat="1" ht="15">
      <c r="A11" s="94"/>
      <c r="B11" s="94"/>
      <c r="C11" s="89"/>
      <c r="D11" s="89"/>
      <c r="E11" s="238"/>
      <c r="F11" s="99"/>
      <c r="G11" s="100"/>
      <c r="H11" s="100"/>
      <c r="I11" s="101"/>
      <c r="J11" s="101"/>
      <c r="K11" s="101"/>
      <c r="M11" s="87"/>
    </row>
    <row r="12" spans="1:13" s="88" customFormat="1" ht="15">
      <c r="A12" s="94">
        <f>A10+1</f>
        <v>2</v>
      </c>
      <c r="B12" s="94"/>
      <c r="C12" s="89" t="s">
        <v>69</v>
      </c>
      <c r="D12" s="89"/>
      <c r="E12" s="101">
        <f>prD!G69</f>
        <v>0</v>
      </c>
      <c r="F12" s="99"/>
      <c r="G12" s="100">
        <f>zbD!G99</f>
        <v>0</v>
      </c>
      <c r="H12" s="100"/>
      <c r="I12" s="101">
        <f>kanal!G111</f>
        <v>0</v>
      </c>
      <c r="J12" s="101"/>
      <c r="K12" s="101">
        <f>zakljuD!G39</f>
        <v>0</v>
      </c>
      <c r="M12" s="87">
        <f>+E12+G12+I12+K12</f>
        <v>0</v>
      </c>
    </row>
    <row r="13" spans="1:13" s="88" customFormat="1" ht="15">
      <c r="A13" s="94"/>
      <c r="B13" s="94"/>
      <c r="C13" s="89"/>
      <c r="D13" s="89"/>
      <c r="E13" s="238"/>
      <c r="F13" s="99"/>
      <c r="G13" s="113"/>
      <c r="H13" s="113"/>
      <c r="I13" s="101"/>
      <c r="J13" s="101"/>
      <c r="K13" s="101"/>
      <c r="M13" s="87"/>
    </row>
    <row r="14" spans="1:13" s="88" customFormat="1" ht="15">
      <c r="A14" s="94">
        <f>A12+1</f>
        <v>3</v>
      </c>
      <c r="B14" s="94"/>
      <c r="C14" s="89" t="s">
        <v>70</v>
      </c>
      <c r="D14" s="89"/>
      <c r="E14" s="101">
        <f>prD!G70</f>
        <v>0</v>
      </c>
      <c r="F14" s="99"/>
      <c r="G14" s="100">
        <f>zbD!G100</f>
        <v>0</v>
      </c>
      <c r="H14" s="100"/>
      <c r="I14" s="101">
        <f>kanal!G112</f>
        <v>0</v>
      </c>
      <c r="J14" s="101"/>
      <c r="K14" s="101">
        <f>zakljuD!G40</f>
        <v>0</v>
      </c>
      <c r="M14" s="87">
        <f>+E14+G14+I14+K14</f>
        <v>0</v>
      </c>
    </row>
    <row r="15" spans="1:13" s="88" customFormat="1" ht="15">
      <c r="A15" s="94"/>
      <c r="B15" s="94"/>
      <c r="C15" s="89"/>
      <c r="D15" s="89"/>
      <c r="E15" s="238"/>
      <c r="F15" s="99"/>
      <c r="G15" s="100"/>
      <c r="H15" s="100"/>
      <c r="I15" s="101"/>
      <c r="J15" s="101"/>
      <c r="K15" s="101"/>
      <c r="M15" s="87"/>
    </row>
    <row r="16" spans="1:13" s="88" customFormat="1" ht="15">
      <c r="A16" s="94">
        <f>+A14+1</f>
        <v>4</v>
      </c>
      <c r="B16" s="94"/>
      <c r="C16" s="89" t="s">
        <v>71</v>
      </c>
      <c r="D16" s="89"/>
      <c r="E16" s="101">
        <f>prD!G71</f>
        <v>0</v>
      </c>
      <c r="F16" s="99"/>
      <c r="G16" s="100">
        <f>zbD!G101</f>
        <v>0</v>
      </c>
      <c r="H16" s="100"/>
      <c r="I16" s="101">
        <f>kanal!G113</f>
        <v>0</v>
      </c>
      <c r="J16" s="101"/>
      <c r="K16" s="101">
        <f>zakljuD!G41</f>
        <v>0</v>
      </c>
      <c r="M16" s="87">
        <f>+E16+G16+I16+K16</f>
        <v>0</v>
      </c>
    </row>
    <row r="17" spans="1:13" s="88" customFormat="1" ht="15">
      <c r="A17" s="121"/>
      <c r="B17" s="121"/>
      <c r="C17" s="122"/>
      <c r="D17" s="122"/>
      <c r="E17" s="123"/>
      <c r="F17" s="123"/>
      <c r="G17" s="463"/>
      <c r="H17" s="463"/>
      <c r="I17" s="124"/>
      <c r="J17" s="124"/>
      <c r="K17" s="124"/>
      <c r="L17" s="125"/>
      <c r="M17" s="126"/>
    </row>
    <row r="18" spans="1:13" s="88" customFormat="1" ht="15">
      <c r="A18" s="94"/>
      <c r="B18" s="94"/>
      <c r="C18" s="227" t="s">
        <v>62</v>
      </c>
      <c r="D18" s="89"/>
      <c r="E18" s="103">
        <f>SUM(E10:E16)</f>
        <v>0</v>
      </c>
      <c r="F18" s="103"/>
      <c r="G18" s="103">
        <f>SUM(G10:G16)</f>
        <v>0</v>
      </c>
      <c r="H18" s="249"/>
      <c r="I18" s="103">
        <f>SUM(I10:I16)</f>
        <v>0</v>
      </c>
      <c r="J18" s="101"/>
      <c r="K18" s="103">
        <f>SUM(K10:K16)</f>
        <v>0</v>
      </c>
      <c r="M18" s="87">
        <f>SUM(M10:M17)</f>
        <v>0</v>
      </c>
    </row>
    <row r="19" spans="1:13" s="88" customFormat="1" ht="15">
      <c r="A19" s="94"/>
      <c r="B19" s="94"/>
      <c r="C19" s="89"/>
      <c r="D19" s="89"/>
      <c r="E19" s="103"/>
      <c r="F19" s="103"/>
      <c r="G19" s="249"/>
      <c r="H19" s="249"/>
      <c r="I19" s="101"/>
      <c r="J19" s="101"/>
      <c r="K19" s="101"/>
      <c r="M19" s="87"/>
    </row>
    <row r="20" spans="1:13" s="97" customFormat="1" ht="15">
      <c r="A20" s="106"/>
      <c r="B20" s="106"/>
      <c r="C20" s="107"/>
      <c r="D20" s="107"/>
      <c r="E20" s="90"/>
      <c r="F20" s="90"/>
      <c r="G20" s="247"/>
      <c r="H20" s="247"/>
      <c r="I20" s="88"/>
      <c r="J20" s="88"/>
      <c r="K20" s="88"/>
      <c r="L20" s="88"/>
    </row>
    <row r="21" spans="1:13" s="97" customFormat="1" ht="15">
      <c r="A21" s="94"/>
      <c r="B21" s="94"/>
      <c r="C21" s="96"/>
      <c r="D21" s="96"/>
      <c r="E21" s="114"/>
      <c r="F21" s="114"/>
      <c r="G21" s="464"/>
      <c r="H21" s="464"/>
      <c r="I21" s="88"/>
      <c r="J21" s="88"/>
      <c r="K21" s="88"/>
      <c r="L21" s="88"/>
      <c r="M21" s="88"/>
    </row>
    <row r="22" spans="1:13" s="24" customFormat="1" ht="15.75">
      <c r="A22" s="91"/>
      <c r="B22" s="91"/>
      <c r="C22" s="25"/>
      <c r="D22" s="25"/>
      <c r="E22" s="115"/>
      <c r="F22" s="115"/>
      <c r="G22" s="245"/>
      <c r="H22" s="245"/>
      <c r="I22" s="85"/>
      <c r="J22" s="85"/>
      <c r="K22" s="85"/>
      <c r="L22" s="85"/>
      <c r="M22" s="85"/>
    </row>
    <row r="23" spans="1:13" s="32" customFormat="1" ht="18.75">
      <c r="A23" s="93"/>
      <c r="B23" s="93"/>
      <c r="C23" s="30"/>
      <c r="D23" s="30"/>
      <c r="E23" s="116"/>
      <c r="F23" s="116"/>
      <c r="G23" s="95"/>
      <c r="H23" s="95"/>
      <c r="I23" s="117"/>
      <c r="J23" s="117"/>
      <c r="K23" s="117"/>
      <c r="L23" s="117"/>
      <c r="M23" s="117"/>
    </row>
    <row r="24" spans="1:13" s="24" customFormat="1" ht="15.75">
      <c r="A24" s="91"/>
      <c r="B24" s="91"/>
      <c r="C24" s="25"/>
      <c r="D24" s="25"/>
      <c r="E24" s="115"/>
      <c r="F24" s="115"/>
      <c r="G24" s="118"/>
      <c r="H24" s="118"/>
      <c r="I24" s="85"/>
      <c r="J24" s="85"/>
      <c r="K24" s="85"/>
      <c r="L24" s="85"/>
      <c r="M24" s="85"/>
    </row>
    <row r="29" spans="1:13">
      <c r="E29" s="119"/>
      <c r="F29" s="119"/>
    </row>
    <row r="31" spans="1:13">
      <c r="E31" s="119"/>
      <c r="F31" s="119"/>
    </row>
    <row r="32" spans="1:13">
      <c r="E32" s="119"/>
      <c r="F32" s="119"/>
    </row>
    <row r="36" spans="5:6" ht="15.75">
      <c r="E36" s="120"/>
      <c r="F36" s="120"/>
    </row>
  </sheetData>
  <pageMargins left="0.39370078740157483" right="0.39370078740157483" top="1.1811023622047245" bottom="0.98425196850393704" header="0" footer="0"/>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G79"/>
  <sheetViews>
    <sheetView showZeros="0" workbookViewId="0">
      <selection activeCell="F61" sqref="F61"/>
    </sheetView>
  </sheetViews>
  <sheetFormatPr defaultRowHeight="15"/>
  <cols>
    <col min="1" max="1" width="4.7109375" style="79" customWidth="1"/>
    <col min="2" max="2" width="30.7109375" style="79" customWidth="1"/>
    <col min="3" max="3" width="4.7109375" style="177" customWidth="1"/>
    <col min="4" max="4" width="13.7109375" style="168" customWidth="1"/>
    <col min="5" max="6" width="12.7109375" style="168" customWidth="1"/>
    <col min="7" max="7" width="12.7109375" style="169" customWidth="1"/>
    <col min="243" max="243" width="4.7109375" customWidth="1"/>
    <col min="244" max="244" width="30.7109375" customWidth="1"/>
    <col min="245" max="245" width="4.7109375" customWidth="1"/>
    <col min="246" max="246" width="13.7109375" customWidth="1"/>
    <col min="247" max="249" width="12.7109375" customWidth="1"/>
    <col min="251" max="251" width="21" customWidth="1"/>
    <col min="252" max="252" width="36.5703125" customWidth="1"/>
    <col min="499" max="499" width="4.7109375" customWidth="1"/>
    <col min="500" max="500" width="30.7109375" customWidth="1"/>
    <col min="501" max="501" width="4.7109375" customWidth="1"/>
    <col min="502" max="502" width="13.7109375" customWidth="1"/>
    <col min="503" max="505" width="12.7109375" customWidth="1"/>
    <col min="507" max="507" width="21" customWidth="1"/>
    <col min="508" max="508" width="36.5703125" customWidth="1"/>
    <col min="755" max="755" width="4.7109375" customWidth="1"/>
    <col min="756" max="756" width="30.7109375" customWidth="1"/>
    <col min="757" max="757" width="4.7109375" customWidth="1"/>
    <col min="758" max="758" width="13.7109375" customWidth="1"/>
    <col min="759" max="761" width="12.7109375" customWidth="1"/>
    <col min="763" max="763" width="21" customWidth="1"/>
    <col min="764" max="764" width="36.5703125" customWidth="1"/>
    <col min="1011" max="1011" width="4.7109375" customWidth="1"/>
    <col min="1012" max="1012" width="30.7109375" customWidth="1"/>
    <col min="1013" max="1013" width="4.7109375" customWidth="1"/>
    <col min="1014" max="1014" width="13.7109375" customWidth="1"/>
    <col min="1015" max="1017" width="12.7109375" customWidth="1"/>
    <col min="1019" max="1019" width="21" customWidth="1"/>
    <col min="1020" max="1020" width="36.5703125" customWidth="1"/>
    <col min="1267" max="1267" width="4.7109375" customWidth="1"/>
    <col min="1268" max="1268" width="30.7109375" customWidth="1"/>
    <col min="1269" max="1269" width="4.7109375" customWidth="1"/>
    <col min="1270" max="1270" width="13.7109375" customWidth="1"/>
    <col min="1271" max="1273" width="12.7109375" customWidth="1"/>
    <col min="1275" max="1275" width="21" customWidth="1"/>
    <col min="1276" max="1276" width="36.5703125" customWidth="1"/>
    <col min="1523" max="1523" width="4.7109375" customWidth="1"/>
    <col min="1524" max="1524" width="30.7109375" customWidth="1"/>
    <col min="1525" max="1525" width="4.7109375" customWidth="1"/>
    <col min="1526" max="1526" width="13.7109375" customWidth="1"/>
    <col min="1527" max="1529" width="12.7109375" customWidth="1"/>
    <col min="1531" max="1531" width="21" customWidth="1"/>
    <col min="1532" max="1532" width="36.5703125" customWidth="1"/>
    <col min="1779" max="1779" width="4.7109375" customWidth="1"/>
    <col min="1780" max="1780" width="30.7109375" customWidth="1"/>
    <col min="1781" max="1781" width="4.7109375" customWidth="1"/>
    <col min="1782" max="1782" width="13.7109375" customWidth="1"/>
    <col min="1783" max="1785" width="12.7109375" customWidth="1"/>
    <col min="1787" max="1787" width="21" customWidth="1"/>
    <col min="1788" max="1788" width="36.5703125" customWidth="1"/>
    <col min="2035" max="2035" width="4.7109375" customWidth="1"/>
    <col min="2036" max="2036" width="30.7109375" customWidth="1"/>
    <col min="2037" max="2037" width="4.7109375" customWidth="1"/>
    <col min="2038" max="2038" width="13.7109375" customWidth="1"/>
    <col min="2039" max="2041" width="12.7109375" customWidth="1"/>
    <col min="2043" max="2043" width="21" customWidth="1"/>
    <col min="2044" max="2044" width="36.5703125" customWidth="1"/>
    <col min="2291" max="2291" width="4.7109375" customWidth="1"/>
    <col min="2292" max="2292" width="30.7109375" customWidth="1"/>
    <col min="2293" max="2293" width="4.7109375" customWidth="1"/>
    <col min="2294" max="2294" width="13.7109375" customWidth="1"/>
    <col min="2295" max="2297" width="12.7109375" customWidth="1"/>
    <col min="2299" max="2299" width="21" customWidth="1"/>
    <col min="2300" max="2300" width="36.5703125" customWidth="1"/>
    <col min="2547" max="2547" width="4.7109375" customWidth="1"/>
    <col min="2548" max="2548" width="30.7109375" customWidth="1"/>
    <col min="2549" max="2549" width="4.7109375" customWidth="1"/>
    <col min="2550" max="2550" width="13.7109375" customWidth="1"/>
    <col min="2551" max="2553" width="12.7109375" customWidth="1"/>
    <col min="2555" max="2555" width="21" customWidth="1"/>
    <col min="2556" max="2556" width="36.5703125" customWidth="1"/>
    <col min="2803" max="2803" width="4.7109375" customWidth="1"/>
    <col min="2804" max="2804" width="30.7109375" customWidth="1"/>
    <col min="2805" max="2805" width="4.7109375" customWidth="1"/>
    <col min="2806" max="2806" width="13.7109375" customWidth="1"/>
    <col min="2807" max="2809" width="12.7109375" customWidth="1"/>
    <col min="2811" max="2811" width="21" customWidth="1"/>
    <col min="2812" max="2812" width="36.5703125" customWidth="1"/>
    <col min="3059" max="3059" width="4.7109375" customWidth="1"/>
    <col min="3060" max="3060" width="30.7109375" customWidth="1"/>
    <col min="3061" max="3061" width="4.7109375" customWidth="1"/>
    <col min="3062" max="3062" width="13.7109375" customWidth="1"/>
    <col min="3063" max="3065" width="12.7109375" customWidth="1"/>
    <col min="3067" max="3067" width="21" customWidth="1"/>
    <col min="3068" max="3068" width="36.5703125" customWidth="1"/>
    <col min="3315" max="3315" width="4.7109375" customWidth="1"/>
    <col min="3316" max="3316" width="30.7109375" customWidth="1"/>
    <col min="3317" max="3317" width="4.7109375" customWidth="1"/>
    <col min="3318" max="3318" width="13.7109375" customWidth="1"/>
    <col min="3319" max="3321" width="12.7109375" customWidth="1"/>
    <col min="3323" max="3323" width="21" customWidth="1"/>
    <col min="3324" max="3324" width="36.5703125" customWidth="1"/>
    <col min="3571" max="3571" width="4.7109375" customWidth="1"/>
    <col min="3572" max="3572" width="30.7109375" customWidth="1"/>
    <col min="3573" max="3573" width="4.7109375" customWidth="1"/>
    <col min="3574" max="3574" width="13.7109375" customWidth="1"/>
    <col min="3575" max="3577" width="12.7109375" customWidth="1"/>
    <col min="3579" max="3579" width="21" customWidth="1"/>
    <col min="3580" max="3580" width="36.5703125" customWidth="1"/>
    <col min="3827" max="3827" width="4.7109375" customWidth="1"/>
    <col min="3828" max="3828" width="30.7109375" customWidth="1"/>
    <col min="3829" max="3829" width="4.7109375" customWidth="1"/>
    <col min="3830" max="3830" width="13.7109375" customWidth="1"/>
    <col min="3831" max="3833" width="12.7109375" customWidth="1"/>
    <col min="3835" max="3835" width="21" customWidth="1"/>
    <col min="3836" max="3836" width="36.5703125" customWidth="1"/>
    <col min="4083" max="4083" width="4.7109375" customWidth="1"/>
    <col min="4084" max="4084" width="30.7109375" customWidth="1"/>
    <col min="4085" max="4085" width="4.7109375" customWidth="1"/>
    <col min="4086" max="4086" width="13.7109375" customWidth="1"/>
    <col min="4087" max="4089" width="12.7109375" customWidth="1"/>
    <col min="4091" max="4091" width="21" customWidth="1"/>
    <col min="4092" max="4092" width="36.5703125" customWidth="1"/>
    <col min="4339" max="4339" width="4.7109375" customWidth="1"/>
    <col min="4340" max="4340" width="30.7109375" customWidth="1"/>
    <col min="4341" max="4341" width="4.7109375" customWidth="1"/>
    <col min="4342" max="4342" width="13.7109375" customWidth="1"/>
    <col min="4343" max="4345" width="12.7109375" customWidth="1"/>
    <col min="4347" max="4347" width="21" customWidth="1"/>
    <col min="4348" max="4348" width="36.5703125" customWidth="1"/>
    <col min="4595" max="4595" width="4.7109375" customWidth="1"/>
    <col min="4596" max="4596" width="30.7109375" customWidth="1"/>
    <col min="4597" max="4597" width="4.7109375" customWidth="1"/>
    <col min="4598" max="4598" width="13.7109375" customWidth="1"/>
    <col min="4599" max="4601" width="12.7109375" customWidth="1"/>
    <col min="4603" max="4603" width="21" customWidth="1"/>
    <col min="4604" max="4604" width="36.5703125" customWidth="1"/>
    <col min="4851" max="4851" width="4.7109375" customWidth="1"/>
    <col min="4852" max="4852" width="30.7109375" customWidth="1"/>
    <col min="4853" max="4853" width="4.7109375" customWidth="1"/>
    <col min="4854" max="4854" width="13.7109375" customWidth="1"/>
    <col min="4855" max="4857" width="12.7109375" customWidth="1"/>
    <col min="4859" max="4859" width="21" customWidth="1"/>
    <col min="4860" max="4860" width="36.5703125" customWidth="1"/>
    <col min="5107" max="5107" width="4.7109375" customWidth="1"/>
    <col min="5108" max="5108" width="30.7109375" customWidth="1"/>
    <col min="5109" max="5109" width="4.7109375" customWidth="1"/>
    <col min="5110" max="5110" width="13.7109375" customWidth="1"/>
    <col min="5111" max="5113" width="12.7109375" customWidth="1"/>
    <col min="5115" max="5115" width="21" customWidth="1"/>
    <col min="5116" max="5116" width="36.5703125" customWidth="1"/>
    <col min="5363" max="5363" width="4.7109375" customWidth="1"/>
    <col min="5364" max="5364" width="30.7109375" customWidth="1"/>
    <col min="5365" max="5365" width="4.7109375" customWidth="1"/>
    <col min="5366" max="5366" width="13.7109375" customWidth="1"/>
    <col min="5367" max="5369" width="12.7109375" customWidth="1"/>
    <col min="5371" max="5371" width="21" customWidth="1"/>
    <col min="5372" max="5372" width="36.5703125" customWidth="1"/>
    <col min="5619" max="5619" width="4.7109375" customWidth="1"/>
    <col min="5620" max="5620" width="30.7109375" customWidth="1"/>
    <col min="5621" max="5621" width="4.7109375" customWidth="1"/>
    <col min="5622" max="5622" width="13.7109375" customWidth="1"/>
    <col min="5623" max="5625" width="12.7109375" customWidth="1"/>
    <col min="5627" max="5627" width="21" customWidth="1"/>
    <col min="5628" max="5628" width="36.5703125" customWidth="1"/>
    <col min="5875" max="5875" width="4.7109375" customWidth="1"/>
    <col min="5876" max="5876" width="30.7109375" customWidth="1"/>
    <col min="5877" max="5877" width="4.7109375" customWidth="1"/>
    <col min="5878" max="5878" width="13.7109375" customWidth="1"/>
    <col min="5879" max="5881" width="12.7109375" customWidth="1"/>
    <col min="5883" max="5883" width="21" customWidth="1"/>
    <col min="5884" max="5884" width="36.5703125" customWidth="1"/>
    <col min="6131" max="6131" width="4.7109375" customWidth="1"/>
    <col min="6132" max="6132" width="30.7109375" customWidth="1"/>
    <col min="6133" max="6133" width="4.7109375" customWidth="1"/>
    <col min="6134" max="6134" width="13.7109375" customWidth="1"/>
    <col min="6135" max="6137" width="12.7109375" customWidth="1"/>
    <col min="6139" max="6139" width="21" customWidth="1"/>
    <col min="6140" max="6140" width="36.5703125" customWidth="1"/>
    <col min="6387" max="6387" width="4.7109375" customWidth="1"/>
    <col min="6388" max="6388" width="30.7109375" customWidth="1"/>
    <col min="6389" max="6389" width="4.7109375" customWidth="1"/>
    <col min="6390" max="6390" width="13.7109375" customWidth="1"/>
    <col min="6391" max="6393" width="12.7109375" customWidth="1"/>
    <col min="6395" max="6395" width="21" customWidth="1"/>
    <col min="6396" max="6396" width="36.5703125" customWidth="1"/>
    <col min="6643" max="6643" width="4.7109375" customWidth="1"/>
    <col min="6644" max="6644" width="30.7109375" customWidth="1"/>
    <col min="6645" max="6645" width="4.7109375" customWidth="1"/>
    <col min="6646" max="6646" width="13.7109375" customWidth="1"/>
    <col min="6647" max="6649" width="12.7109375" customWidth="1"/>
    <col min="6651" max="6651" width="21" customWidth="1"/>
    <col min="6652" max="6652" width="36.5703125" customWidth="1"/>
    <col min="6899" max="6899" width="4.7109375" customWidth="1"/>
    <col min="6900" max="6900" width="30.7109375" customWidth="1"/>
    <col min="6901" max="6901" width="4.7109375" customWidth="1"/>
    <col min="6902" max="6902" width="13.7109375" customWidth="1"/>
    <col min="6903" max="6905" width="12.7109375" customWidth="1"/>
    <col min="6907" max="6907" width="21" customWidth="1"/>
    <col min="6908" max="6908" width="36.5703125" customWidth="1"/>
    <col min="7155" max="7155" width="4.7109375" customWidth="1"/>
    <col min="7156" max="7156" width="30.7109375" customWidth="1"/>
    <col min="7157" max="7157" width="4.7109375" customWidth="1"/>
    <col min="7158" max="7158" width="13.7109375" customWidth="1"/>
    <col min="7159" max="7161" width="12.7109375" customWidth="1"/>
    <col min="7163" max="7163" width="21" customWidth="1"/>
    <col min="7164" max="7164" width="36.5703125" customWidth="1"/>
    <col min="7411" max="7411" width="4.7109375" customWidth="1"/>
    <col min="7412" max="7412" width="30.7109375" customWidth="1"/>
    <col min="7413" max="7413" width="4.7109375" customWidth="1"/>
    <col min="7414" max="7414" width="13.7109375" customWidth="1"/>
    <col min="7415" max="7417" width="12.7109375" customWidth="1"/>
    <col min="7419" max="7419" width="21" customWidth="1"/>
    <col min="7420" max="7420" width="36.5703125" customWidth="1"/>
    <col min="7667" max="7667" width="4.7109375" customWidth="1"/>
    <col min="7668" max="7668" width="30.7109375" customWidth="1"/>
    <col min="7669" max="7669" width="4.7109375" customWidth="1"/>
    <col min="7670" max="7670" width="13.7109375" customWidth="1"/>
    <col min="7671" max="7673" width="12.7109375" customWidth="1"/>
    <col min="7675" max="7675" width="21" customWidth="1"/>
    <col min="7676" max="7676" width="36.5703125" customWidth="1"/>
    <col min="7923" max="7923" width="4.7109375" customWidth="1"/>
    <col min="7924" max="7924" width="30.7109375" customWidth="1"/>
    <col min="7925" max="7925" width="4.7109375" customWidth="1"/>
    <col min="7926" max="7926" width="13.7109375" customWidth="1"/>
    <col min="7927" max="7929" width="12.7109375" customWidth="1"/>
    <col min="7931" max="7931" width="21" customWidth="1"/>
    <col min="7932" max="7932" width="36.5703125" customWidth="1"/>
    <col min="8179" max="8179" width="4.7109375" customWidth="1"/>
    <col min="8180" max="8180" width="30.7109375" customWidth="1"/>
    <col min="8181" max="8181" width="4.7109375" customWidth="1"/>
    <col min="8182" max="8182" width="13.7109375" customWidth="1"/>
    <col min="8183" max="8185" width="12.7109375" customWidth="1"/>
    <col min="8187" max="8187" width="21" customWidth="1"/>
    <col min="8188" max="8188" width="36.5703125" customWidth="1"/>
    <col min="8435" max="8435" width="4.7109375" customWidth="1"/>
    <col min="8436" max="8436" width="30.7109375" customWidth="1"/>
    <col min="8437" max="8437" width="4.7109375" customWidth="1"/>
    <col min="8438" max="8438" width="13.7109375" customWidth="1"/>
    <col min="8439" max="8441" width="12.7109375" customWidth="1"/>
    <col min="8443" max="8443" width="21" customWidth="1"/>
    <col min="8444" max="8444" width="36.5703125" customWidth="1"/>
    <col min="8691" max="8691" width="4.7109375" customWidth="1"/>
    <col min="8692" max="8692" width="30.7109375" customWidth="1"/>
    <col min="8693" max="8693" width="4.7109375" customWidth="1"/>
    <col min="8694" max="8694" width="13.7109375" customWidth="1"/>
    <col min="8695" max="8697" width="12.7109375" customWidth="1"/>
    <col min="8699" max="8699" width="21" customWidth="1"/>
    <col min="8700" max="8700" width="36.5703125" customWidth="1"/>
    <col min="8947" max="8947" width="4.7109375" customWidth="1"/>
    <col min="8948" max="8948" width="30.7109375" customWidth="1"/>
    <col min="8949" max="8949" width="4.7109375" customWidth="1"/>
    <col min="8950" max="8950" width="13.7109375" customWidth="1"/>
    <col min="8951" max="8953" width="12.7109375" customWidth="1"/>
    <col min="8955" max="8955" width="21" customWidth="1"/>
    <col min="8956" max="8956" width="36.5703125" customWidth="1"/>
    <col min="9203" max="9203" width="4.7109375" customWidth="1"/>
    <col min="9204" max="9204" width="30.7109375" customWidth="1"/>
    <col min="9205" max="9205" width="4.7109375" customWidth="1"/>
    <col min="9206" max="9206" width="13.7109375" customWidth="1"/>
    <col min="9207" max="9209" width="12.7109375" customWidth="1"/>
    <col min="9211" max="9211" width="21" customWidth="1"/>
    <col min="9212" max="9212" width="36.5703125" customWidth="1"/>
    <col min="9459" max="9459" width="4.7109375" customWidth="1"/>
    <col min="9460" max="9460" width="30.7109375" customWidth="1"/>
    <col min="9461" max="9461" width="4.7109375" customWidth="1"/>
    <col min="9462" max="9462" width="13.7109375" customWidth="1"/>
    <col min="9463" max="9465" width="12.7109375" customWidth="1"/>
    <col min="9467" max="9467" width="21" customWidth="1"/>
    <col min="9468" max="9468" width="36.5703125" customWidth="1"/>
    <col min="9715" max="9715" width="4.7109375" customWidth="1"/>
    <col min="9716" max="9716" width="30.7109375" customWidth="1"/>
    <col min="9717" max="9717" width="4.7109375" customWidth="1"/>
    <col min="9718" max="9718" width="13.7109375" customWidth="1"/>
    <col min="9719" max="9721" width="12.7109375" customWidth="1"/>
    <col min="9723" max="9723" width="21" customWidth="1"/>
    <col min="9724" max="9724" width="36.5703125" customWidth="1"/>
    <col min="9971" max="9971" width="4.7109375" customWidth="1"/>
    <col min="9972" max="9972" width="30.7109375" customWidth="1"/>
    <col min="9973" max="9973" width="4.7109375" customWidth="1"/>
    <col min="9974" max="9974" width="13.7109375" customWidth="1"/>
    <col min="9975" max="9977" width="12.7109375" customWidth="1"/>
    <col min="9979" max="9979" width="21" customWidth="1"/>
    <col min="9980" max="9980" width="36.5703125" customWidth="1"/>
    <col min="10227" max="10227" width="4.7109375" customWidth="1"/>
    <col min="10228" max="10228" width="30.7109375" customWidth="1"/>
    <col min="10229" max="10229" width="4.7109375" customWidth="1"/>
    <col min="10230" max="10230" width="13.7109375" customWidth="1"/>
    <col min="10231" max="10233" width="12.7109375" customWidth="1"/>
    <col min="10235" max="10235" width="21" customWidth="1"/>
    <col min="10236" max="10236" width="36.5703125" customWidth="1"/>
    <col min="10483" max="10483" width="4.7109375" customWidth="1"/>
    <col min="10484" max="10484" width="30.7109375" customWidth="1"/>
    <col min="10485" max="10485" width="4.7109375" customWidth="1"/>
    <col min="10486" max="10486" width="13.7109375" customWidth="1"/>
    <col min="10487" max="10489" width="12.7109375" customWidth="1"/>
    <col min="10491" max="10491" width="21" customWidth="1"/>
    <col min="10492" max="10492" width="36.5703125" customWidth="1"/>
    <col min="10739" max="10739" width="4.7109375" customWidth="1"/>
    <col min="10740" max="10740" width="30.7109375" customWidth="1"/>
    <col min="10741" max="10741" width="4.7109375" customWidth="1"/>
    <col min="10742" max="10742" width="13.7109375" customWidth="1"/>
    <col min="10743" max="10745" width="12.7109375" customWidth="1"/>
    <col min="10747" max="10747" width="21" customWidth="1"/>
    <col min="10748" max="10748" width="36.5703125" customWidth="1"/>
    <col min="10995" max="10995" width="4.7109375" customWidth="1"/>
    <col min="10996" max="10996" width="30.7109375" customWidth="1"/>
    <col min="10997" max="10997" width="4.7109375" customWidth="1"/>
    <col min="10998" max="10998" width="13.7109375" customWidth="1"/>
    <col min="10999" max="11001" width="12.7109375" customWidth="1"/>
    <col min="11003" max="11003" width="21" customWidth="1"/>
    <col min="11004" max="11004" width="36.5703125" customWidth="1"/>
    <col min="11251" max="11251" width="4.7109375" customWidth="1"/>
    <col min="11252" max="11252" width="30.7109375" customWidth="1"/>
    <col min="11253" max="11253" width="4.7109375" customWidth="1"/>
    <col min="11254" max="11254" width="13.7109375" customWidth="1"/>
    <col min="11255" max="11257" width="12.7109375" customWidth="1"/>
    <col min="11259" max="11259" width="21" customWidth="1"/>
    <col min="11260" max="11260" width="36.5703125" customWidth="1"/>
    <col min="11507" max="11507" width="4.7109375" customWidth="1"/>
    <col min="11508" max="11508" width="30.7109375" customWidth="1"/>
    <col min="11509" max="11509" width="4.7109375" customWidth="1"/>
    <col min="11510" max="11510" width="13.7109375" customWidth="1"/>
    <col min="11511" max="11513" width="12.7109375" customWidth="1"/>
    <col min="11515" max="11515" width="21" customWidth="1"/>
    <col min="11516" max="11516" width="36.5703125" customWidth="1"/>
    <col min="11763" max="11763" width="4.7109375" customWidth="1"/>
    <col min="11764" max="11764" width="30.7109375" customWidth="1"/>
    <col min="11765" max="11765" width="4.7109375" customWidth="1"/>
    <col min="11766" max="11766" width="13.7109375" customWidth="1"/>
    <col min="11767" max="11769" width="12.7109375" customWidth="1"/>
    <col min="11771" max="11771" width="21" customWidth="1"/>
    <col min="11772" max="11772" width="36.5703125" customWidth="1"/>
    <col min="12019" max="12019" width="4.7109375" customWidth="1"/>
    <col min="12020" max="12020" width="30.7109375" customWidth="1"/>
    <col min="12021" max="12021" width="4.7109375" customWidth="1"/>
    <col min="12022" max="12022" width="13.7109375" customWidth="1"/>
    <col min="12023" max="12025" width="12.7109375" customWidth="1"/>
    <col min="12027" max="12027" width="21" customWidth="1"/>
    <col min="12028" max="12028" width="36.5703125" customWidth="1"/>
    <col min="12275" max="12275" width="4.7109375" customWidth="1"/>
    <col min="12276" max="12276" width="30.7109375" customWidth="1"/>
    <col min="12277" max="12277" width="4.7109375" customWidth="1"/>
    <col min="12278" max="12278" width="13.7109375" customWidth="1"/>
    <col min="12279" max="12281" width="12.7109375" customWidth="1"/>
    <col min="12283" max="12283" width="21" customWidth="1"/>
    <col min="12284" max="12284" width="36.5703125" customWidth="1"/>
    <col min="12531" max="12531" width="4.7109375" customWidth="1"/>
    <col min="12532" max="12532" width="30.7109375" customWidth="1"/>
    <col min="12533" max="12533" width="4.7109375" customWidth="1"/>
    <col min="12534" max="12534" width="13.7109375" customWidth="1"/>
    <col min="12535" max="12537" width="12.7109375" customWidth="1"/>
    <col min="12539" max="12539" width="21" customWidth="1"/>
    <col min="12540" max="12540" width="36.5703125" customWidth="1"/>
    <col min="12787" max="12787" width="4.7109375" customWidth="1"/>
    <col min="12788" max="12788" width="30.7109375" customWidth="1"/>
    <col min="12789" max="12789" width="4.7109375" customWidth="1"/>
    <col min="12790" max="12790" width="13.7109375" customWidth="1"/>
    <col min="12791" max="12793" width="12.7109375" customWidth="1"/>
    <col min="12795" max="12795" width="21" customWidth="1"/>
    <col min="12796" max="12796" width="36.5703125" customWidth="1"/>
    <col min="13043" max="13043" width="4.7109375" customWidth="1"/>
    <col min="13044" max="13044" width="30.7109375" customWidth="1"/>
    <col min="13045" max="13045" width="4.7109375" customWidth="1"/>
    <col min="13046" max="13046" width="13.7109375" customWidth="1"/>
    <col min="13047" max="13049" width="12.7109375" customWidth="1"/>
    <col min="13051" max="13051" width="21" customWidth="1"/>
    <col min="13052" max="13052" width="36.5703125" customWidth="1"/>
    <col min="13299" max="13299" width="4.7109375" customWidth="1"/>
    <col min="13300" max="13300" width="30.7109375" customWidth="1"/>
    <col min="13301" max="13301" width="4.7109375" customWidth="1"/>
    <col min="13302" max="13302" width="13.7109375" customWidth="1"/>
    <col min="13303" max="13305" width="12.7109375" customWidth="1"/>
    <col min="13307" max="13307" width="21" customWidth="1"/>
    <col min="13308" max="13308" width="36.5703125" customWidth="1"/>
    <col min="13555" max="13555" width="4.7109375" customWidth="1"/>
    <col min="13556" max="13556" width="30.7109375" customWidth="1"/>
    <col min="13557" max="13557" width="4.7109375" customWidth="1"/>
    <col min="13558" max="13558" width="13.7109375" customWidth="1"/>
    <col min="13559" max="13561" width="12.7109375" customWidth="1"/>
    <col min="13563" max="13563" width="21" customWidth="1"/>
    <col min="13564" max="13564" width="36.5703125" customWidth="1"/>
    <col min="13811" max="13811" width="4.7109375" customWidth="1"/>
    <col min="13812" max="13812" width="30.7109375" customWidth="1"/>
    <col min="13813" max="13813" width="4.7109375" customWidth="1"/>
    <col min="13814" max="13814" width="13.7109375" customWidth="1"/>
    <col min="13815" max="13817" width="12.7109375" customWidth="1"/>
    <col min="13819" max="13819" width="21" customWidth="1"/>
    <col min="13820" max="13820" width="36.5703125" customWidth="1"/>
    <col min="14067" max="14067" width="4.7109375" customWidth="1"/>
    <col min="14068" max="14068" width="30.7109375" customWidth="1"/>
    <col min="14069" max="14069" width="4.7109375" customWidth="1"/>
    <col min="14070" max="14070" width="13.7109375" customWidth="1"/>
    <col min="14071" max="14073" width="12.7109375" customWidth="1"/>
    <col min="14075" max="14075" width="21" customWidth="1"/>
    <col min="14076" max="14076" width="36.5703125" customWidth="1"/>
    <col min="14323" max="14323" width="4.7109375" customWidth="1"/>
    <col min="14324" max="14324" width="30.7109375" customWidth="1"/>
    <col min="14325" max="14325" width="4.7109375" customWidth="1"/>
    <col min="14326" max="14326" width="13.7109375" customWidth="1"/>
    <col min="14327" max="14329" width="12.7109375" customWidth="1"/>
    <col min="14331" max="14331" width="21" customWidth="1"/>
    <col min="14332" max="14332" width="36.5703125" customWidth="1"/>
    <col min="14579" max="14579" width="4.7109375" customWidth="1"/>
    <col min="14580" max="14580" width="30.7109375" customWidth="1"/>
    <col min="14581" max="14581" width="4.7109375" customWidth="1"/>
    <col min="14582" max="14582" width="13.7109375" customWidth="1"/>
    <col min="14583" max="14585" width="12.7109375" customWidth="1"/>
    <col min="14587" max="14587" width="21" customWidth="1"/>
    <col min="14588" max="14588" width="36.5703125" customWidth="1"/>
    <col min="14835" max="14835" width="4.7109375" customWidth="1"/>
    <col min="14836" max="14836" width="30.7109375" customWidth="1"/>
    <col min="14837" max="14837" width="4.7109375" customWidth="1"/>
    <col min="14838" max="14838" width="13.7109375" customWidth="1"/>
    <col min="14839" max="14841" width="12.7109375" customWidth="1"/>
    <col min="14843" max="14843" width="21" customWidth="1"/>
    <col min="14844" max="14844" width="36.5703125" customWidth="1"/>
    <col min="15091" max="15091" width="4.7109375" customWidth="1"/>
    <col min="15092" max="15092" width="30.7109375" customWidth="1"/>
    <col min="15093" max="15093" width="4.7109375" customWidth="1"/>
    <col min="15094" max="15094" width="13.7109375" customWidth="1"/>
    <col min="15095" max="15097" width="12.7109375" customWidth="1"/>
    <col min="15099" max="15099" width="21" customWidth="1"/>
    <col min="15100" max="15100" width="36.5703125" customWidth="1"/>
    <col min="15347" max="15347" width="4.7109375" customWidth="1"/>
    <col min="15348" max="15348" width="30.7109375" customWidth="1"/>
    <col min="15349" max="15349" width="4.7109375" customWidth="1"/>
    <col min="15350" max="15350" width="13.7109375" customWidth="1"/>
    <col min="15351" max="15353" width="12.7109375" customWidth="1"/>
    <col min="15355" max="15355" width="21" customWidth="1"/>
    <col min="15356" max="15356" width="36.5703125" customWidth="1"/>
    <col min="15603" max="15603" width="4.7109375" customWidth="1"/>
    <col min="15604" max="15604" width="30.7109375" customWidth="1"/>
    <col min="15605" max="15605" width="4.7109375" customWidth="1"/>
    <col min="15606" max="15606" width="13.7109375" customWidth="1"/>
    <col min="15607" max="15609" width="12.7109375" customWidth="1"/>
    <col min="15611" max="15611" width="21" customWidth="1"/>
    <col min="15612" max="15612" width="36.5703125" customWidth="1"/>
    <col min="15859" max="15859" width="4.7109375" customWidth="1"/>
    <col min="15860" max="15860" width="30.7109375" customWidth="1"/>
    <col min="15861" max="15861" width="4.7109375" customWidth="1"/>
    <col min="15862" max="15862" width="13.7109375" customWidth="1"/>
    <col min="15863" max="15865" width="12.7109375" customWidth="1"/>
    <col min="15867" max="15867" width="21" customWidth="1"/>
    <col min="15868" max="15868" width="36.5703125" customWidth="1"/>
    <col min="16115" max="16115" width="4.7109375" customWidth="1"/>
    <col min="16116" max="16116" width="30.7109375" customWidth="1"/>
    <col min="16117" max="16117" width="4.7109375" customWidth="1"/>
    <col min="16118" max="16118" width="13.7109375" customWidth="1"/>
    <col min="16119" max="16121" width="12.7109375" customWidth="1"/>
    <col min="16123" max="16123" width="21" customWidth="1"/>
    <col min="16124" max="16124" width="36.5703125" customWidth="1"/>
  </cols>
  <sheetData>
    <row r="1" spans="1:7">
      <c r="B1" s="104" t="s">
        <v>27</v>
      </c>
    </row>
    <row r="2" spans="1:7">
      <c r="B2" s="104" t="s">
        <v>28</v>
      </c>
    </row>
    <row r="3" spans="1:7">
      <c r="B3" s="105" t="s">
        <v>29</v>
      </c>
    </row>
    <row r="5" spans="1:7" ht="15.75">
      <c r="A5" s="22" t="s">
        <v>30</v>
      </c>
      <c r="B5" s="23" t="s">
        <v>31</v>
      </c>
      <c r="C5" s="131"/>
      <c r="D5" s="170"/>
      <c r="E5" s="171"/>
      <c r="F5" s="171"/>
      <c r="G5" s="144"/>
    </row>
    <row r="6" spans="1:7" ht="12.75" customHeight="1">
      <c r="A6" s="48"/>
      <c r="B6" s="49"/>
      <c r="C6" s="131"/>
      <c r="D6" s="170"/>
      <c r="E6" s="171"/>
      <c r="F6" s="171"/>
      <c r="G6" s="144"/>
    </row>
    <row r="7" spans="1:7" ht="40.5" customHeight="1">
      <c r="A7" s="48">
        <v>1</v>
      </c>
      <c r="B7" s="52" t="s">
        <v>18</v>
      </c>
      <c r="C7" s="131"/>
      <c r="D7" s="172"/>
      <c r="E7" s="172"/>
      <c r="F7" s="171"/>
      <c r="G7" s="144"/>
    </row>
    <row r="8" spans="1:7" ht="12.75" customHeight="1">
      <c r="A8" s="48"/>
      <c r="B8" s="72" t="s">
        <v>80</v>
      </c>
      <c r="C8" s="131" t="s">
        <v>56</v>
      </c>
      <c r="D8" s="172" t="s">
        <v>435</v>
      </c>
      <c r="E8" s="172">
        <f>174.7+28</f>
        <v>202.7</v>
      </c>
      <c r="F8" s="171"/>
      <c r="G8" s="144">
        <f t="shared" ref="G8:G11" si="0">+E8*F8</f>
        <v>0</v>
      </c>
    </row>
    <row r="9" spans="1:7" ht="12.75" customHeight="1">
      <c r="A9" s="48"/>
      <c r="B9" s="72" t="s">
        <v>81</v>
      </c>
      <c r="C9" s="131" t="s">
        <v>56</v>
      </c>
      <c r="D9" s="172" t="s">
        <v>436</v>
      </c>
      <c r="E9" s="172">
        <f>81.58+9</f>
        <v>90.58</v>
      </c>
      <c r="F9" s="171"/>
      <c r="G9" s="144">
        <f t="shared" si="0"/>
        <v>0</v>
      </c>
    </row>
    <row r="10" spans="1:7" ht="12.75" customHeight="1">
      <c r="A10" s="48"/>
      <c r="B10" s="72" t="s">
        <v>83</v>
      </c>
      <c r="C10" s="131" t="s">
        <v>56</v>
      </c>
      <c r="D10" s="172" t="s">
        <v>437</v>
      </c>
      <c r="E10" s="172">
        <f>49.29+4</f>
        <v>53.29</v>
      </c>
      <c r="F10" s="171"/>
      <c r="G10" s="144">
        <f t="shared" si="0"/>
        <v>0</v>
      </c>
    </row>
    <row r="11" spans="1:7" ht="12.75" customHeight="1">
      <c r="A11" s="48"/>
      <c r="B11" s="72" t="s">
        <v>82</v>
      </c>
      <c r="C11" s="131" t="s">
        <v>56</v>
      </c>
      <c r="D11" s="172" t="s">
        <v>438</v>
      </c>
      <c r="E11" s="172">
        <f>326.43+18</f>
        <v>344.43</v>
      </c>
      <c r="F11" s="171"/>
      <c r="G11" s="144">
        <f t="shared" si="0"/>
        <v>0</v>
      </c>
    </row>
    <row r="12" spans="1:7" ht="12.75" customHeight="1">
      <c r="A12" s="48"/>
      <c r="B12" s="72"/>
      <c r="C12" s="131"/>
      <c r="D12" s="172"/>
      <c r="E12" s="172"/>
      <c r="F12" s="171"/>
      <c r="G12" s="144"/>
    </row>
    <row r="13" spans="1:7" ht="52.5" customHeight="1">
      <c r="A13" s="48">
        <f>+A7+1</f>
        <v>2</v>
      </c>
      <c r="B13" s="52" t="s">
        <v>20</v>
      </c>
      <c r="C13" s="131"/>
      <c r="D13" s="155"/>
      <c r="E13" s="171"/>
      <c r="F13" s="171"/>
      <c r="G13" s="144"/>
    </row>
    <row r="14" spans="1:7" ht="12.75" customHeight="1">
      <c r="A14" s="48"/>
      <c r="B14" s="72" t="s">
        <v>80</v>
      </c>
      <c r="C14" s="131" t="s">
        <v>15</v>
      </c>
      <c r="D14" s="155" t="s">
        <v>439</v>
      </c>
      <c r="E14" s="155">
        <f>10+7</f>
        <v>17</v>
      </c>
      <c r="F14" s="171"/>
      <c r="G14" s="144">
        <f t="shared" ref="G14:G17" si="1">E14*F14</f>
        <v>0</v>
      </c>
    </row>
    <row r="15" spans="1:7" ht="12.75" customHeight="1">
      <c r="A15" s="48"/>
      <c r="B15" s="72" t="s">
        <v>81</v>
      </c>
      <c r="C15" s="131" t="s">
        <v>15</v>
      </c>
      <c r="D15" s="155" t="s">
        <v>440</v>
      </c>
      <c r="E15" s="155">
        <f>5+3</f>
        <v>8</v>
      </c>
      <c r="F15" s="171"/>
      <c r="G15" s="144">
        <f t="shared" si="1"/>
        <v>0</v>
      </c>
    </row>
    <row r="16" spans="1:7" ht="12.75" customHeight="1">
      <c r="A16" s="48"/>
      <c r="B16" s="72" t="s">
        <v>83</v>
      </c>
      <c r="C16" s="131" t="s">
        <v>15</v>
      </c>
      <c r="D16" s="155" t="s">
        <v>441</v>
      </c>
      <c r="E16" s="155">
        <f>4+2</f>
        <v>6</v>
      </c>
      <c r="F16" s="171"/>
      <c r="G16" s="144">
        <f t="shared" si="1"/>
        <v>0</v>
      </c>
    </row>
    <row r="17" spans="1:7" ht="12.75" customHeight="1">
      <c r="A17" s="48"/>
      <c r="B17" s="72" t="s">
        <v>82</v>
      </c>
      <c r="C17" s="131" t="s">
        <v>15</v>
      </c>
      <c r="D17" s="155" t="s">
        <v>442</v>
      </c>
      <c r="E17" s="155">
        <f>16+7</f>
        <v>23</v>
      </c>
      <c r="F17" s="171"/>
      <c r="G17" s="144">
        <f t="shared" si="1"/>
        <v>0</v>
      </c>
    </row>
    <row r="18" spans="1:7" ht="12.75" customHeight="1">
      <c r="A18" s="48"/>
      <c r="B18" s="72"/>
      <c r="C18" s="131"/>
      <c r="D18" s="172"/>
      <c r="E18" s="172"/>
      <c r="F18" s="171"/>
      <c r="G18" s="144"/>
    </row>
    <row r="19" spans="1:7" ht="140.25" customHeight="1">
      <c r="A19" s="48">
        <f>+A13+1</f>
        <v>3</v>
      </c>
      <c r="B19" s="72" t="s">
        <v>73</v>
      </c>
      <c r="C19" s="131"/>
      <c r="D19" s="172"/>
      <c r="E19" s="172"/>
      <c r="F19" s="171"/>
      <c r="G19" s="144"/>
    </row>
    <row r="20" spans="1:7" ht="12.75" customHeight="1">
      <c r="A20" s="48"/>
      <c r="B20" s="72" t="s">
        <v>80</v>
      </c>
      <c r="C20" s="131" t="s">
        <v>15</v>
      </c>
      <c r="D20" s="155">
        <v>1</v>
      </c>
      <c r="E20" s="171">
        <f>+D20</f>
        <v>1</v>
      </c>
      <c r="F20" s="171"/>
      <c r="G20" s="144">
        <f t="shared" ref="G20:G23" si="2">E20*F20</f>
        <v>0</v>
      </c>
    </row>
    <row r="21" spans="1:7" ht="12.75" customHeight="1">
      <c r="A21" s="48"/>
      <c r="B21" s="72" t="s">
        <v>81</v>
      </c>
      <c r="C21" s="131" t="s">
        <v>15</v>
      </c>
      <c r="D21" s="155">
        <v>1</v>
      </c>
      <c r="E21" s="171">
        <f t="shared" ref="E21:E23" si="3">+D21</f>
        <v>1</v>
      </c>
      <c r="F21" s="171"/>
      <c r="G21" s="144">
        <f t="shared" si="2"/>
        <v>0</v>
      </c>
    </row>
    <row r="22" spans="1:7" ht="12.75" customHeight="1">
      <c r="A22" s="48"/>
      <c r="B22" s="72" t="s">
        <v>83</v>
      </c>
      <c r="C22" s="131" t="s">
        <v>15</v>
      </c>
      <c r="D22" s="155">
        <v>1</v>
      </c>
      <c r="E22" s="171">
        <f t="shared" si="3"/>
        <v>1</v>
      </c>
      <c r="F22" s="171"/>
      <c r="G22" s="144">
        <f t="shared" si="2"/>
        <v>0</v>
      </c>
    </row>
    <row r="23" spans="1:7" ht="12.75" customHeight="1">
      <c r="A23" s="48"/>
      <c r="B23" s="72" t="s">
        <v>82</v>
      </c>
      <c r="C23" s="131" t="s">
        <v>15</v>
      </c>
      <c r="D23" s="155">
        <v>1</v>
      </c>
      <c r="E23" s="171">
        <f t="shared" si="3"/>
        <v>1</v>
      </c>
      <c r="F23" s="171"/>
      <c r="G23" s="144">
        <f t="shared" si="2"/>
        <v>0</v>
      </c>
    </row>
    <row r="24" spans="1:7" ht="12.75" customHeight="1">
      <c r="A24" s="48"/>
      <c r="B24" s="72"/>
      <c r="C24" s="131"/>
      <c r="D24" s="172"/>
      <c r="E24" s="172"/>
      <c r="F24" s="171"/>
      <c r="G24" s="144"/>
    </row>
    <row r="25" spans="1:7" ht="79.5" customHeight="1">
      <c r="A25" s="48">
        <f>+A19+1</f>
        <v>4</v>
      </c>
      <c r="B25" s="50" t="s">
        <v>14</v>
      </c>
      <c r="C25" s="133"/>
      <c r="D25" s="192"/>
      <c r="E25" s="193"/>
      <c r="F25" s="173"/>
      <c r="G25" s="174"/>
    </row>
    <row r="26" spans="1:7" ht="12.75" customHeight="1">
      <c r="A26" s="48"/>
      <c r="B26" s="72" t="s">
        <v>80</v>
      </c>
      <c r="C26" s="133" t="s">
        <v>15</v>
      </c>
      <c r="D26" s="153">
        <v>1</v>
      </c>
      <c r="E26" s="193">
        <f>+D26</f>
        <v>1</v>
      </c>
      <c r="F26" s="173"/>
      <c r="G26" s="174">
        <f>E26*F26</f>
        <v>0</v>
      </c>
    </row>
    <row r="27" spans="1:7" ht="12.75" customHeight="1">
      <c r="A27" s="48"/>
      <c r="B27" s="72" t="s">
        <v>81</v>
      </c>
      <c r="C27" s="133" t="s">
        <v>15</v>
      </c>
      <c r="D27" s="153">
        <v>1</v>
      </c>
      <c r="E27" s="193">
        <f t="shared" ref="E27:E29" si="4">+D27</f>
        <v>1</v>
      </c>
      <c r="F27" s="173"/>
      <c r="G27" s="174">
        <f t="shared" ref="G27:G29" si="5">E27*F27</f>
        <v>0</v>
      </c>
    </row>
    <row r="28" spans="1:7" ht="12.75" customHeight="1">
      <c r="A28" s="48"/>
      <c r="B28" s="72" t="s">
        <v>83</v>
      </c>
      <c r="C28" s="133" t="s">
        <v>15</v>
      </c>
      <c r="D28" s="153">
        <v>1</v>
      </c>
      <c r="E28" s="193">
        <f t="shared" si="4"/>
        <v>1</v>
      </c>
      <c r="F28" s="173"/>
      <c r="G28" s="174">
        <f t="shared" si="5"/>
        <v>0</v>
      </c>
    </row>
    <row r="29" spans="1:7" ht="12.75" customHeight="1">
      <c r="A29" s="48"/>
      <c r="B29" s="72" t="s">
        <v>82</v>
      </c>
      <c r="C29" s="133" t="s">
        <v>15</v>
      </c>
      <c r="D29" s="153">
        <v>1</v>
      </c>
      <c r="E29" s="193">
        <f t="shared" si="4"/>
        <v>1</v>
      </c>
      <c r="F29" s="173"/>
      <c r="G29" s="174">
        <f t="shared" si="5"/>
        <v>0</v>
      </c>
    </row>
    <row r="30" spans="1:7" ht="12.75" customHeight="1">
      <c r="A30" s="48"/>
      <c r="B30" s="49"/>
      <c r="C30" s="131"/>
      <c r="D30" s="170"/>
      <c r="E30" s="171"/>
      <c r="F30" s="171"/>
      <c r="G30" s="144"/>
    </row>
    <row r="31" spans="1:7" ht="104.25" customHeight="1">
      <c r="A31" s="48">
        <f>+A25+1</f>
        <v>5</v>
      </c>
      <c r="B31" s="51" t="s">
        <v>406</v>
      </c>
      <c r="C31" s="134"/>
      <c r="D31" s="130"/>
      <c r="E31" s="175"/>
      <c r="F31" s="173"/>
      <c r="G31" s="147"/>
    </row>
    <row r="32" spans="1:7" ht="12.75" customHeight="1">
      <c r="A32" s="48"/>
      <c r="B32" s="72" t="s">
        <v>80</v>
      </c>
      <c r="C32" s="134" t="s">
        <v>16</v>
      </c>
      <c r="D32" s="153">
        <v>1</v>
      </c>
      <c r="E32" s="175">
        <f t="shared" ref="E32:E35" si="6">+D32</f>
        <v>1</v>
      </c>
      <c r="F32" s="173"/>
      <c r="G32" s="147">
        <f t="shared" ref="G32:G35" si="7">E32*F32</f>
        <v>0</v>
      </c>
    </row>
    <row r="33" spans="1:7" ht="12.75" customHeight="1">
      <c r="A33" s="48"/>
      <c r="B33" s="72" t="s">
        <v>81</v>
      </c>
      <c r="C33" s="134" t="s">
        <v>16</v>
      </c>
      <c r="D33" s="153">
        <v>1</v>
      </c>
      <c r="E33" s="175">
        <f t="shared" si="6"/>
        <v>1</v>
      </c>
      <c r="F33" s="173"/>
      <c r="G33" s="147">
        <f t="shared" si="7"/>
        <v>0</v>
      </c>
    </row>
    <row r="34" spans="1:7" ht="12.75" customHeight="1">
      <c r="A34" s="48"/>
      <c r="B34" s="72" t="s">
        <v>83</v>
      </c>
      <c r="C34" s="134" t="s">
        <v>16</v>
      </c>
      <c r="D34" s="153">
        <v>1</v>
      </c>
      <c r="E34" s="175">
        <f t="shared" si="6"/>
        <v>1</v>
      </c>
      <c r="F34" s="173"/>
      <c r="G34" s="147">
        <f t="shared" si="7"/>
        <v>0</v>
      </c>
    </row>
    <row r="35" spans="1:7" ht="12.75" customHeight="1">
      <c r="A35" s="48"/>
      <c r="B35" s="72" t="s">
        <v>82</v>
      </c>
      <c r="C35" s="134" t="s">
        <v>16</v>
      </c>
      <c r="D35" s="153">
        <v>1</v>
      </c>
      <c r="E35" s="175">
        <f t="shared" si="6"/>
        <v>1</v>
      </c>
      <c r="F35" s="173"/>
      <c r="G35" s="147">
        <f t="shared" si="7"/>
        <v>0</v>
      </c>
    </row>
    <row r="36" spans="1:7" ht="12.75" customHeight="1">
      <c r="A36" s="48"/>
      <c r="B36" s="52"/>
      <c r="C36" s="134"/>
      <c r="D36" s="130"/>
      <c r="E36" s="175"/>
      <c r="F36" s="173"/>
      <c r="G36" s="147"/>
    </row>
    <row r="37" spans="1:7" ht="153">
      <c r="A37" s="48">
        <f>+A31+1</f>
        <v>6</v>
      </c>
      <c r="B37" s="446" t="s">
        <v>407</v>
      </c>
      <c r="C37" s="134"/>
      <c r="D37" s="130"/>
      <c r="E37" s="175"/>
      <c r="F37" s="173"/>
      <c r="G37" s="147"/>
    </row>
    <row r="38" spans="1:7" ht="12.75" customHeight="1">
      <c r="A38" s="48"/>
      <c r="B38" s="72" t="s">
        <v>80</v>
      </c>
      <c r="C38" s="134" t="s">
        <v>17</v>
      </c>
      <c r="D38" s="130">
        <v>0</v>
      </c>
      <c r="E38" s="130">
        <v>0</v>
      </c>
      <c r="F38" s="173"/>
      <c r="G38" s="147">
        <f t="shared" ref="G38:G41" si="8">E38*F38</f>
        <v>0</v>
      </c>
    </row>
    <row r="39" spans="1:7" ht="12.75" customHeight="1">
      <c r="A39" s="48"/>
      <c r="B39" s="72" t="s">
        <v>81</v>
      </c>
      <c r="C39" s="134" t="s">
        <v>17</v>
      </c>
      <c r="D39" s="130">
        <v>0</v>
      </c>
      <c r="E39" s="175">
        <f t="shared" ref="E39" si="9">+D39</f>
        <v>0</v>
      </c>
      <c r="F39" s="173"/>
      <c r="G39" s="147">
        <f t="shared" si="8"/>
        <v>0</v>
      </c>
    </row>
    <row r="40" spans="1:7" ht="12.75" customHeight="1">
      <c r="A40" s="48"/>
      <c r="B40" s="72" t="s">
        <v>83</v>
      </c>
      <c r="C40" s="134" t="s">
        <v>17</v>
      </c>
      <c r="D40" s="130" t="s">
        <v>159</v>
      </c>
      <c r="E40" s="130">
        <f>25.7*5.6</f>
        <v>143.91999999999999</v>
      </c>
      <c r="F40" s="173"/>
      <c r="G40" s="147">
        <f t="shared" si="8"/>
        <v>0</v>
      </c>
    </row>
    <row r="41" spans="1:7" ht="12.75" customHeight="1">
      <c r="A41" s="48"/>
      <c r="B41" s="72" t="s">
        <v>82</v>
      </c>
      <c r="C41" s="134" t="s">
        <v>17</v>
      </c>
      <c r="D41" s="130" t="s">
        <v>160</v>
      </c>
      <c r="E41" s="130">
        <f>185.42*5.6</f>
        <v>1038.3519999999999</v>
      </c>
      <c r="F41" s="173"/>
      <c r="G41" s="147">
        <f t="shared" si="8"/>
        <v>0</v>
      </c>
    </row>
    <row r="42" spans="1:7" ht="12.75" customHeight="1">
      <c r="A42" s="48"/>
      <c r="B42" s="52"/>
      <c r="C42" s="134"/>
      <c r="D42" s="130"/>
      <c r="E42" s="175"/>
      <c r="F42" s="173"/>
      <c r="G42" s="147"/>
    </row>
    <row r="43" spans="1:7" ht="140.25">
      <c r="A43" s="48">
        <f>+A37+1</f>
        <v>7</v>
      </c>
      <c r="B43" s="446" t="s">
        <v>443</v>
      </c>
      <c r="C43" s="134"/>
      <c r="D43" s="130"/>
      <c r="E43" s="175"/>
      <c r="F43" s="173"/>
      <c r="G43" s="147"/>
    </row>
    <row r="44" spans="1:7" ht="12.75" customHeight="1">
      <c r="A44" s="48"/>
      <c r="B44" s="72" t="s">
        <v>80</v>
      </c>
      <c r="C44" s="134" t="s">
        <v>15</v>
      </c>
      <c r="D44" s="130">
        <v>0</v>
      </c>
      <c r="E44" s="175">
        <f t="shared" ref="E44:E47" si="10">+D44</f>
        <v>0</v>
      </c>
      <c r="F44" s="173"/>
      <c r="G44" s="147">
        <f t="shared" ref="G44:G47" si="11">E44*F44</f>
        <v>0</v>
      </c>
    </row>
    <row r="45" spans="1:7" ht="12.75" customHeight="1">
      <c r="A45" s="48"/>
      <c r="B45" s="72" t="s">
        <v>81</v>
      </c>
      <c r="C45" s="134" t="s">
        <v>15</v>
      </c>
      <c r="D45" s="130">
        <v>0</v>
      </c>
      <c r="E45" s="175">
        <f t="shared" si="10"/>
        <v>0</v>
      </c>
      <c r="F45" s="173"/>
      <c r="G45" s="147">
        <f t="shared" si="11"/>
        <v>0</v>
      </c>
    </row>
    <row r="46" spans="1:7" ht="12.75" customHeight="1">
      <c r="A46" s="48"/>
      <c r="B46" s="72" t="s">
        <v>83</v>
      </c>
      <c r="C46" s="134" t="s">
        <v>15</v>
      </c>
      <c r="D46" s="130">
        <v>2</v>
      </c>
      <c r="E46" s="175">
        <f t="shared" si="10"/>
        <v>2</v>
      </c>
      <c r="F46" s="173"/>
      <c r="G46" s="147">
        <f t="shared" si="11"/>
        <v>0</v>
      </c>
    </row>
    <row r="47" spans="1:7" ht="12.75" customHeight="1">
      <c r="A47" s="48"/>
      <c r="B47" s="72" t="s">
        <v>82</v>
      </c>
      <c r="C47" s="134" t="s">
        <v>15</v>
      </c>
      <c r="D47" s="130">
        <v>13</v>
      </c>
      <c r="E47" s="175">
        <f t="shared" si="10"/>
        <v>13</v>
      </c>
      <c r="F47" s="173"/>
      <c r="G47" s="147">
        <f t="shared" si="11"/>
        <v>0</v>
      </c>
    </row>
    <row r="48" spans="1:7" ht="12.75" customHeight="1">
      <c r="A48" s="48"/>
      <c r="B48" s="52"/>
      <c r="C48" s="134"/>
      <c r="D48" s="130"/>
      <c r="E48" s="175"/>
      <c r="F48" s="173"/>
      <c r="G48" s="147"/>
    </row>
    <row r="49" spans="1:7" ht="165.75">
      <c r="A49" s="48">
        <f>+A43+1</f>
        <v>8</v>
      </c>
      <c r="B49" s="53" t="s">
        <v>53</v>
      </c>
      <c r="C49" s="136"/>
      <c r="D49" s="161"/>
      <c r="E49" s="161"/>
      <c r="F49" s="162"/>
      <c r="G49" s="147"/>
    </row>
    <row r="50" spans="1:7" ht="12.75" customHeight="1">
      <c r="A50" s="48"/>
      <c r="B50" s="72" t="s">
        <v>80</v>
      </c>
      <c r="C50" s="136" t="s">
        <v>16</v>
      </c>
      <c r="D50" s="161">
        <v>1</v>
      </c>
      <c r="E50" s="161">
        <f>+D50</f>
        <v>1</v>
      </c>
      <c r="F50" s="162"/>
      <c r="G50" s="147">
        <f t="shared" ref="G50:G53" si="12">E50*F50</f>
        <v>0</v>
      </c>
    </row>
    <row r="51" spans="1:7" ht="12.75" customHeight="1">
      <c r="A51" s="48"/>
      <c r="B51" s="72" t="s">
        <v>81</v>
      </c>
      <c r="C51" s="136" t="s">
        <v>16</v>
      </c>
      <c r="D51" s="161">
        <v>1</v>
      </c>
      <c r="E51" s="161">
        <f t="shared" ref="E51:E53" si="13">+D51</f>
        <v>1</v>
      </c>
      <c r="F51" s="162"/>
      <c r="G51" s="147">
        <f t="shared" si="12"/>
        <v>0</v>
      </c>
    </row>
    <row r="52" spans="1:7" ht="12.75" customHeight="1">
      <c r="A52" s="48"/>
      <c r="B52" s="72" t="s">
        <v>83</v>
      </c>
      <c r="C52" s="136" t="s">
        <v>16</v>
      </c>
      <c r="D52" s="161">
        <v>1</v>
      </c>
      <c r="E52" s="161">
        <f t="shared" si="13"/>
        <v>1</v>
      </c>
      <c r="F52" s="162"/>
      <c r="G52" s="147">
        <f t="shared" si="12"/>
        <v>0</v>
      </c>
    </row>
    <row r="53" spans="1:7" ht="12.75" customHeight="1">
      <c r="A53" s="48"/>
      <c r="B53" s="72" t="s">
        <v>82</v>
      </c>
      <c r="C53" s="136" t="s">
        <v>16</v>
      </c>
      <c r="D53" s="161">
        <v>1</v>
      </c>
      <c r="E53" s="161">
        <f t="shared" si="13"/>
        <v>1</v>
      </c>
      <c r="F53" s="162"/>
      <c r="G53" s="147">
        <f t="shared" si="12"/>
        <v>0</v>
      </c>
    </row>
    <row r="54" spans="1:7" ht="12.75" customHeight="1">
      <c r="A54" s="48"/>
      <c r="B54" s="53"/>
      <c r="C54" s="136"/>
      <c r="D54" s="161"/>
      <c r="E54" s="161"/>
      <c r="F54" s="162"/>
      <c r="G54" s="163"/>
    </row>
    <row r="55" spans="1:7" ht="204">
      <c r="A55" s="48">
        <f>+A49+1</f>
        <v>9</v>
      </c>
      <c r="B55" s="53" t="s">
        <v>54</v>
      </c>
      <c r="C55" s="137"/>
      <c r="D55" s="164"/>
      <c r="E55" s="164"/>
      <c r="F55" s="165"/>
      <c r="G55" s="147"/>
    </row>
    <row r="56" spans="1:7" ht="12.75" customHeight="1">
      <c r="A56" s="48"/>
      <c r="B56" s="72" t="s">
        <v>80</v>
      </c>
      <c r="C56" s="137" t="s">
        <v>17</v>
      </c>
      <c r="D56" s="161">
        <v>1</v>
      </c>
      <c r="E56" s="161">
        <f>+D56</f>
        <v>1</v>
      </c>
      <c r="F56" s="165"/>
      <c r="G56" s="147">
        <f>E56*F56</f>
        <v>0</v>
      </c>
    </row>
    <row r="57" spans="1:7" ht="12.75" customHeight="1">
      <c r="A57" s="48"/>
      <c r="B57" s="72" t="s">
        <v>81</v>
      </c>
      <c r="C57" s="137" t="s">
        <v>17</v>
      </c>
      <c r="D57" s="161">
        <v>1</v>
      </c>
      <c r="E57" s="161">
        <f t="shared" ref="E57:E59" si="14">+D57</f>
        <v>1</v>
      </c>
      <c r="F57" s="165"/>
      <c r="G57" s="147">
        <f t="shared" ref="G57:G59" si="15">E57*F57</f>
        <v>0</v>
      </c>
    </row>
    <row r="58" spans="1:7" ht="12.75" customHeight="1">
      <c r="A58" s="48"/>
      <c r="B58" s="72" t="s">
        <v>83</v>
      </c>
      <c r="C58" s="137" t="s">
        <v>17</v>
      </c>
      <c r="D58" s="161">
        <v>1</v>
      </c>
      <c r="E58" s="161">
        <f t="shared" si="14"/>
        <v>1</v>
      </c>
      <c r="F58" s="165"/>
      <c r="G58" s="147">
        <f t="shared" si="15"/>
        <v>0</v>
      </c>
    </row>
    <row r="59" spans="1:7" ht="12.75" customHeight="1">
      <c r="A59" s="48"/>
      <c r="B59" s="72" t="s">
        <v>82</v>
      </c>
      <c r="C59" s="137" t="s">
        <v>17</v>
      </c>
      <c r="D59" s="161">
        <v>1</v>
      </c>
      <c r="E59" s="161">
        <f t="shared" si="14"/>
        <v>1</v>
      </c>
      <c r="F59" s="165"/>
      <c r="G59" s="147">
        <f t="shared" si="15"/>
        <v>0</v>
      </c>
    </row>
    <row r="60" spans="1:7" ht="12.75" customHeight="1">
      <c r="A60" s="48"/>
      <c r="B60" s="56"/>
      <c r="C60" s="137"/>
      <c r="D60" s="164"/>
      <c r="E60" s="164"/>
      <c r="F60" s="165"/>
      <c r="G60" s="147"/>
    </row>
    <row r="61" spans="1:7" ht="192.75" customHeight="1">
      <c r="A61" s="48">
        <f>+A55+1</f>
        <v>10</v>
      </c>
      <c r="B61" s="53" t="s">
        <v>55</v>
      </c>
      <c r="C61" s="137"/>
      <c r="D61" s="164"/>
      <c r="E61" s="164"/>
      <c r="F61" s="165"/>
      <c r="G61" s="147"/>
    </row>
    <row r="62" spans="1:7" ht="12.75" customHeight="1">
      <c r="A62" s="48"/>
      <c r="B62" s="72" t="s">
        <v>80</v>
      </c>
      <c r="C62" s="137" t="s">
        <v>17</v>
      </c>
      <c r="D62" s="130" t="s">
        <v>254</v>
      </c>
      <c r="E62" s="130">
        <f>175*2.75</f>
        <v>481.25</v>
      </c>
      <c r="F62" s="165"/>
      <c r="G62" s="147">
        <f t="shared" ref="G62:G65" si="16">E62*F62</f>
        <v>0</v>
      </c>
    </row>
    <row r="63" spans="1:7" ht="12.75" customHeight="1">
      <c r="A63" s="48"/>
      <c r="B63" s="72" t="s">
        <v>81</v>
      </c>
      <c r="C63" s="137" t="s">
        <v>17</v>
      </c>
      <c r="D63" s="237">
        <v>0</v>
      </c>
      <c r="E63" s="164">
        <v>0</v>
      </c>
      <c r="F63" s="165"/>
      <c r="G63" s="147">
        <f t="shared" si="16"/>
        <v>0</v>
      </c>
    </row>
    <row r="64" spans="1:7" ht="12.75" customHeight="1">
      <c r="A64" s="48"/>
      <c r="B64" s="72" t="s">
        <v>83</v>
      </c>
      <c r="C64" s="137" t="s">
        <v>17</v>
      </c>
      <c r="D64" s="237">
        <v>0</v>
      </c>
      <c r="E64" s="164">
        <v>0</v>
      </c>
      <c r="F64" s="165"/>
      <c r="G64" s="147">
        <f t="shared" si="16"/>
        <v>0</v>
      </c>
    </row>
    <row r="65" spans="1:7" ht="12.75" customHeight="1">
      <c r="A65" s="48"/>
      <c r="B65" s="72" t="s">
        <v>82</v>
      </c>
      <c r="C65" s="137" t="s">
        <v>17</v>
      </c>
      <c r="D65" s="237">
        <v>0</v>
      </c>
      <c r="E65" s="164">
        <v>0</v>
      </c>
      <c r="F65" s="165"/>
      <c r="G65" s="147">
        <f t="shared" si="16"/>
        <v>0</v>
      </c>
    </row>
    <row r="66" spans="1:7" ht="12.75" customHeight="1">
      <c r="A66" s="48"/>
      <c r="B66" s="72"/>
      <c r="C66" s="137"/>
      <c r="D66" s="164"/>
      <c r="E66" s="164"/>
      <c r="F66" s="165"/>
      <c r="G66" s="147"/>
    </row>
    <row r="67" spans="1:7" ht="12.75" customHeight="1">
      <c r="A67" s="48"/>
      <c r="B67" s="72" t="s">
        <v>366</v>
      </c>
      <c r="C67" s="137"/>
      <c r="D67" s="164"/>
      <c r="E67" s="164"/>
      <c r="F67" s="165"/>
      <c r="G67" s="147"/>
    </row>
    <row r="68" spans="1:7" ht="12.75" customHeight="1">
      <c r="A68" s="48"/>
      <c r="B68" s="56"/>
      <c r="C68" s="137"/>
      <c r="D68" s="164"/>
      <c r="E68" s="221" t="s">
        <v>80</v>
      </c>
      <c r="F68" s="194"/>
      <c r="G68" s="147">
        <f>+G62+G56+G50+G44+G38+G32+G26+G20+G14+G8</f>
        <v>0</v>
      </c>
    </row>
    <row r="69" spans="1:7" ht="12.75" customHeight="1">
      <c r="A69" s="48"/>
      <c r="B69" s="56"/>
      <c r="C69" s="137"/>
      <c r="D69" s="164"/>
      <c r="E69" s="221" t="s">
        <v>81</v>
      </c>
      <c r="F69" s="194"/>
      <c r="G69" s="147">
        <f>+G63+G57+G51+G45+G39+G33+G27+G21+G15+G9</f>
        <v>0</v>
      </c>
    </row>
    <row r="70" spans="1:7" ht="12.75" customHeight="1">
      <c r="A70" s="48"/>
      <c r="B70" s="56"/>
      <c r="C70" s="137"/>
      <c r="D70" s="164"/>
      <c r="E70" s="221" t="s">
        <v>83</v>
      </c>
      <c r="F70" s="194"/>
      <c r="G70" s="147">
        <f>+G64+G58+G52+G46+G40+G34+G28+G22+G16+G10</f>
        <v>0</v>
      </c>
    </row>
    <row r="71" spans="1:7" ht="12.75" customHeight="1">
      <c r="A71" s="48"/>
      <c r="B71" s="56"/>
      <c r="C71" s="137"/>
      <c r="D71" s="164"/>
      <c r="E71" s="221" t="s">
        <v>82</v>
      </c>
      <c r="F71" s="194"/>
      <c r="G71" s="147">
        <f>+G65+G59+G53+G47+G41+G35+G29+G23+G17+G11</f>
        <v>0</v>
      </c>
    </row>
    <row r="72" spans="1:7" ht="12.75" customHeight="1">
      <c r="A72" s="48"/>
      <c r="B72" s="20"/>
      <c r="C72" s="138"/>
      <c r="D72" s="155"/>
      <c r="E72" s="171"/>
      <c r="F72" s="171"/>
      <c r="G72" s="144"/>
    </row>
    <row r="73" spans="1:7" ht="16.5" thickBot="1">
      <c r="A73" s="22" t="s">
        <v>30</v>
      </c>
      <c r="B73" s="23" t="s">
        <v>31</v>
      </c>
      <c r="C73" s="138"/>
      <c r="D73" s="155"/>
      <c r="E73" s="171"/>
      <c r="F73" s="127" t="s">
        <v>62</v>
      </c>
      <c r="G73" s="127">
        <f>SUM(G68:G71)</f>
        <v>0</v>
      </c>
    </row>
    <row r="74" spans="1:7" ht="15.75" thickTop="1">
      <c r="A74" s="48"/>
      <c r="B74" s="20"/>
      <c r="C74" s="138"/>
      <c r="D74" s="155"/>
      <c r="E74" s="171"/>
      <c r="F74" s="171"/>
      <c r="G74" s="144"/>
    </row>
    <row r="75" spans="1:7">
      <c r="A75" s="48"/>
      <c r="B75" s="20"/>
      <c r="C75" s="138"/>
      <c r="D75" s="155"/>
      <c r="E75" s="171"/>
      <c r="F75" s="171"/>
      <c r="G75" s="144"/>
    </row>
    <row r="76" spans="1:7">
      <c r="A76" s="48"/>
      <c r="B76" s="59"/>
      <c r="C76" s="131"/>
      <c r="D76" s="155"/>
      <c r="E76" s="171"/>
      <c r="F76" s="171"/>
      <c r="G76" s="144"/>
    </row>
    <row r="77" spans="1:7">
      <c r="B77" s="69"/>
      <c r="C77" s="134"/>
      <c r="D77" s="130"/>
      <c r="E77" s="130"/>
      <c r="F77" s="160"/>
      <c r="G77" s="154"/>
    </row>
    <row r="79" spans="1:7">
      <c r="B79" s="64"/>
      <c r="C79" s="139"/>
      <c r="D79" s="166"/>
      <c r="E79" s="166"/>
      <c r="F79" s="167"/>
      <c r="G79" s="147"/>
    </row>
  </sheetData>
  <conditionalFormatting sqref="F8:F65">
    <cfRule type="cellIs" dxfId="10" priority="1" operator="equal">
      <formula>0</formula>
    </cfRule>
  </conditionalFormatting>
  <pageMargins left="0.78740157480314965" right="0.19685039370078741" top="0.59055118110236227" bottom="0.59055118110236227" header="0" footer="0.19685039370078741"/>
  <pageSetup paperSize="9" scale="95" orientation="portrait" r:id="rId1"/>
  <headerFooter>
    <oddFooter>Stran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nsl</vt:lpstr>
      <vt:lpstr>skREK</vt:lpstr>
      <vt:lpstr>Rfk</vt:lpstr>
      <vt:lpstr>predD</vt:lpstr>
      <vt:lpstr>zemBetD</vt:lpstr>
      <vt:lpstr>kan</vt:lpstr>
      <vt:lpstr>zakljD</vt:lpstr>
      <vt:lpstr>Rmet</vt:lpstr>
      <vt:lpstr>prD</vt:lpstr>
      <vt:lpstr>zbD</vt:lpstr>
      <vt:lpstr>kanal</vt:lpstr>
      <vt:lpstr>zakljuD</vt:lpstr>
      <vt:lpstr>ČRP-1218</vt:lpstr>
      <vt:lpstr>ČRP-19</vt:lpstr>
      <vt:lpstr>crpELgd</vt:lpstr>
      <vt:lpstr>Elektroinst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basa</dc:creator>
  <cp:lastModifiedBy>Uporabnik</cp:lastModifiedBy>
  <cp:lastPrinted>2020-10-05T08:01:37Z</cp:lastPrinted>
  <dcterms:created xsi:type="dcterms:W3CDTF">2014-12-11T07:13:27Z</dcterms:created>
  <dcterms:modified xsi:type="dcterms:W3CDTF">2020-10-12T11:16:33Z</dcterms:modified>
</cp:coreProperties>
</file>